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G:\dev\v_chk\xcluded\"/>
    </mc:Choice>
  </mc:AlternateContent>
  <xr:revisionPtr revIDLastSave="0" documentId="13_ncr:1_{4897F090-83F8-4620-BB1E-A4D36DF6C8A5}" xr6:coauthVersionLast="47" xr6:coauthVersionMax="47" xr10:uidLastSave="{00000000-0000-0000-0000-000000000000}"/>
  <bookViews>
    <workbookView xWindow="2660" yWindow="2660" windowWidth="33190" windowHeight="16770" activeTab="2" xr2:uid="{00000000-000D-0000-FFFF-FFFF00000000}"/>
  </bookViews>
  <sheets>
    <sheet name="Summary" sheetId="13" r:id="rId1"/>
    <sheet name="Properties" sheetId="12" r:id="rId2"/>
    <sheet name="Values" sheetId="2" r:id="rId3"/>
    <sheet name="Tags" sheetId="3" r:id="rId4"/>
    <sheet name="Files" sheetId="4" r:id="rId5"/>
    <sheet name="Code" sheetId="5" r:id="rId6"/>
    <sheet name="Xyml" sheetId="6" r:id="rId7"/>
    <sheet name="Duplicates" sheetId="7" r:id="rId8"/>
    <sheet name="Nests" sheetId="8" r:id="rId9"/>
    <sheet name="Plugins" sheetId="9" r:id="rId10"/>
    <sheet name="Area51" sheetId="10" r:id="rId11"/>
    <sheet name="Sheet1" sheetId="14" r:id="rId12"/>
    <sheet name="ColorStudy" sheetId="11" r:id="rId13"/>
  </sheets>
  <definedNames>
    <definedName name="FP" localSheetId="12">ColorStudy!$B$21</definedName>
    <definedName name="FP">Area51!$B$21</definedName>
    <definedName name="FulP">Area51!$B$21</definedName>
    <definedName name="_xlnm.Print_Area" localSheetId="0">Summary!$C$1:$I$36</definedName>
    <definedName name="quo" localSheetId="12">ColorStudy!$F$3</definedName>
    <definedName name="quo">Area51!$F$3</definedName>
    <definedName name="tots_files">Files!$C$6:$E$9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E7" i="3"/>
  <c r="E8" i="3"/>
  <c r="E6" i="2"/>
  <c r="I6" i="2"/>
  <c r="D6" i="2"/>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11" i="3"/>
  <c r="E7" i="12"/>
  <c r="E6" i="12"/>
  <c r="D6" i="12"/>
  <c r="E32" i="13" l="1"/>
  <c r="E31" i="13"/>
  <c r="D31" i="13"/>
  <c r="E30" i="13"/>
  <c r="D30" i="13"/>
  <c r="E29" i="13"/>
  <c r="D29" i="13"/>
  <c r="E26" i="13"/>
  <c r="D26" i="13"/>
  <c r="E25" i="13"/>
  <c r="D25" i="13"/>
  <c r="E24" i="13"/>
  <c r="D24" i="13"/>
  <c r="E23" i="13"/>
  <c r="D23" i="13"/>
  <c r="E20" i="13"/>
  <c r="H19" i="13"/>
  <c r="E19" i="13"/>
  <c r="H18" i="13"/>
  <c r="E16" i="13"/>
  <c r="E15" i="13"/>
  <c r="E12" i="13"/>
  <c r="E10" i="13"/>
  <c r="D10" i="13"/>
  <c r="K2552" i="4"/>
  <c r="K19" i="4"/>
  <c r="D21" i="10"/>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AI22" i="11"/>
  <c r="AI21" i="11"/>
  <c r="D21" i="11"/>
  <c r="AI20" i="11"/>
  <c r="AI19" i="11"/>
  <c r="AI18" i="11"/>
  <c r="W13" i="11"/>
  <c r="V13" i="11"/>
  <c r="U13" i="11"/>
  <c r="T13" i="11"/>
  <c r="S13" i="11"/>
  <c r="R13" i="11"/>
  <c r="Q13" i="11"/>
  <c r="W12" i="11"/>
  <c r="V12" i="11"/>
  <c r="U12" i="11"/>
  <c r="T12" i="11"/>
  <c r="S12" i="11"/>
  <c r="R12" i="11"/>
  <c r="Q12" i="11"/>
  <c r="W11" i="11"/>
  <c r="V11" i="11"/>
  <c r="U11" i="11"/>
  <c r="T11" i="11"/>
  <c r="S11" i="11"/>
  <c r="R11" i="11"/>
  <c r="Q11" i="11"/>
  <c r="W10" i="11"/>
  <c r="V10" i="11"/>
  <c r="U10" i="11"/>
  <c r="T10" i="11"/>
  <c r="S10" i="11"/>
  <c r="R10" i="11"/>
  <c r="Q10" i="11"/>
  <c r="W9" i="11"/>
  <c r="V9" i="11"/>
  <c r="U9" i="11"/>
  <c r="T9" i="11"/>
  <c r="S9" i="11"/>
  <c r="R9" i="11"/>
  <c r="Q9" i="11"/>
  <c r="W8" i="11"/>
  <c r="V8" i="11"/>
  <c r="U8" i="11"/>
  <c r="T8" i="11"/>
  <c r="S8" i="11"/>
  <c r="R8" i="11"/>
  <c r="Q8" i="11"/>
  <c r="W7" i="11"/>
  <c r="V7" i="11"/>
  <c r="U7" i="11"/>
  <c r="T7" i="11"/>
  <c r="S7" i="11"/>
  <c r="R7" i="11"/>
  <c r="Q7" i="11"/>
  <c r="W6" i="11"/>
  <c r="V6" i="11"/>
  <c r="U6" i="11"/>
  <c r="T6" i="11"/>
  <c r="S6" i="11"/>
  <c r="R6" i="11"/>
  <c r="Q6" i="11"/>
  <c r="W5" i="11"/>
  <c r="V5" i="11"/>
  <c r="U5" i="11"/>
  <c r="T5" i="11"/>
  <c r="S5" i="11"/>
  <c r="R5" i="11"/>
  <c r="Q5" i="11"/>
  <c r="W4" i="11"/>
  <c r="Z4" i="11" s="1"/>
  <c r="V4" i="11"/>
  <c r="U4" i="11"/>
  <c r="T4" i="11"/>
  <c r="S4" i="11"/>
  <c r="R4" i="11"/>
  <c r="Q4" i="11"/>
  <c r="W3" i="11"/>
  <c r="V3" i="11"/>
  <c r="U3" i="11"/>
  <c r="T3" i="11"/>
  <c r="S3" i="11"/>
  <c r="R3" i="11"/>
  <c r="Q3" i="11"/>
  <c r="Z13" i="11" l="1"/>
  <c r="Z12" i="11"/>
  <c r="Z10" i="11"/>
  <c r="Z11" i="11"/>
  <c r="Z8" i="11"/>
  <c r="Z9" i="11"/>
  <c r="Z6" i="11"/>
  <c r="Z7" i="11"/>
  <c r="Z3" i="11"/>
  <c r="Z5" i="11"/>
  <c r="E8" i="4"/>
  <c r="E7" i="4"/>
  <c r="P76" i="9"/>
  <c r="P75" i="9"/>
  <c r="P73" i="9"/>
  <c r="P72" i="9"/>
  <c r="P71" i="9"/>
  <c r="P70" i="9"/>
  <c r="P69" i="9"/>
  <c r="P68" i="9"/>
  <c r="P67" i="9"/>
  <c r="P66" i="9"/>
  <c r="P65" i="9"/>
  <c r="P64" i="9"/>
  <c r="P63" i="9"/>
  <c r="P62" i="9"/>
  <c r="P61" i="9"/>
  <c r="P60" i="9"/>
  <c r="P57" i="9"/>
  <c r="P56" i="9"/>
  <c r="P55" i="9"/>
  <c r="P54" i="9"/>
  <c r="P53" i="9"/>
  <c r="P52" i="9"/>
  <c r="P51" i="9"/>
  <c r="P50" i="9"/>
  <c r="P49" i="9"/>
  <c r="P48" i="9"/>
  <c r="P47" i="9"/>
  <c r="P46" i="9"/>
  <c r="P45" i="9"/>
  <c r="P43" i="9"/>
  <c r="P42" i="9"/>
  <c r="P41" i="9"/>
  <c r="P40" i="9"/>
  <c r="P39" i="9"/>
  <c r="P38" i="9"/>
  <c r="P37" i="9"/>
  <c r="P36" i="9"/>
  <c r="P35" i="9"/>
  <c r="P34" i="9"/>
  <c r="P33" i="9"/>
  <c r="P32" i="9"/>
  <c r="P31" i="9"/>
  <c r="P30" i="9"/>
  <c r="P29" i="9"/>
  <c r="P28" i="9"/>
  <c r="P27" i="9"/>
  <c r="P26" i="9"/>
  <c r="P25" i="9"/>
  <c r="P24" i="9"/>
  <c r="P23" i="9"/>
  <c r="P21" i="9"/>
  <c r="P20" i="9"/>
  <c r="P19" i="9"/>
  <c r="P18" i="9"/>
  <c r="P17" i="9"/>
  <c r="P16" i="9"/>
  <c r="P15" i="9"/>
  <c r="P14" i="9"/>
  <c r="P13" i="9"/>
  <c r="C13" i="9"/>
  <c r="P12" i="9"/>
  <c r="D12" i="9"/>
  <c r="P11" i="9"/>
  <c r="D11" i="9"/>
  <c r="K8" i="9"/>
  <c r="P173" i="8"/>
  <c r="L173" i="8"/>
  <c r="P172" i="8"/>
  <c r="L172" i="8"/>
  <c r="P171" i="8"/>
  <c r="L171" i="8"/>
  <c r="P170" i="8"/>
  <c r="L170" i="8"/>
  <c r="P169" i="8"/>
  <c r="L169" i="8"/>
  <c r="P168" i="8"/>
  <c r="L168" i="8"/>
  <c r="P167" i="8"/>
  <c r="L167" i="8"/>
  <c r="P166" i="8"/>
  <c r="L166" i="8"/>
  <c r="P165" i="8"/>
  <c r="L165" i="8"/>
  <c r="P164" i="8"/>
  <c r="L164" i="8"/>
  <c r="P163" i="8"/>
  <c r="L163" i="8"/>
  <c r="P162" i="8"/>
  <c r="L162" i="8"/>
  <c r="P161" i="8"/>
  <c r="L161" i="8"/>
  <c r="P160" i="8"/>
  <c r="L160" i="8"/>
  <c r="P159" i="8"/>
  <c r="L159" i="8"/>
  <c r="P158" i="8"/>
  <c r="L158" i="8"/>
  <c r="P157" i="8"/>
  <c r="L157" i="8"/>
  <c r="P156" i="8"/>
  <c r="L156" i="8"/>
  <c r="P155" i="8"/>
  <c r="L155" i="8"/>
  <c r="P154" i="8"/>
  <c r="L154" i="8"/>
  <c r="P153" i="8"/>
  <c r="L153" i="8"/>
  <c r="P152" i="8"/>
  <c r="L152" i="8"/>
  <c r="P151" i="8"/>
  <c r="L151" i="8"/>
  <c r="P150" i="8"/>
  <c r="L150" i="8"/>
  <c r="P149" i="8"/>
  <c r="L149" i="8"/>
  <c r="P148" i="8"/>
  <c r="L148" i="8"/>
  <c r="P147" i="8"/>
  <c r="L147" i="8"/>
  <c r="P146" i="8"/>
  <c r="L146" i="8"/>
  <c r="P145" i="8"/>
  <c r="L145" i="8"/>
  <c r="P144" i="8"/>
  <c r="L144" i="8"/>
  <c r="P143" i="8"/>
  <c r="L143" i="8"/>
  <c r="P142" i="8"/>
  <c r="L142" i="8"/>
  <c r="P141" i="8"/>
  <c r="L141" i="8"/>
  <c r="P140" i="8"/>
  <c r="L140" i="8"/>
  <c r="P139" i="8"/>
  <c r="L139" i="8"/>
  <c r="P138" i="8"/>
  <c r="L138" i="8"/>
  <c r="P137" i="8"/>
  <c r="L137" i="8"/>
  <c r="P136" i="8"/>
  <c r="L136" i="8"/>
  <c r="P135" i="8"/>
  <c r="L135" i="8"/>
  <c r="P134" i="8"/>
  <c r="L134" i="8"/>
  <c r="P133" i="8"/>
  <c r="L133" i="8"/>
  <c r="P132" i="8"/>
  <c r="L132" i="8"/>
  <c r="P131" i="8"/>
  <c r="L131" i="8"/>
  <c r="P130" i="8"/>
  <c r="L130" i="8"/>
  <c r="P129" i="8"/>
  <c r="L129" i="8"/>
  <c r="P128" i="8"/>
  <c r="L128" i="8"/>
  <c r="P127" i="8"/>
  <c r="L127" i="8"/>
  <c r="P126" i="8"/>
  <c r="L126" i="8"/>
  <c r="P125" i="8"/>
  <c r="L125" i="8"/>
  <c r="P124" i="8"/>
  <c r="L124" i="8"/>
  <c r="P123" i="8"/>
  <c r="L123" i="8"/>
  <c r="P122" i="8"/>
  <c r="L122" i="8"/>
  <c r="P121" i="8"/>
  <c r="L121" i="8"/>
  <c r="P120" i="8"/>
  <c r="L120" i="8"/>
  <c r="P119" i="8"/>
  <c r="L119" i="8"/>
  <c r="P118" i="8"/>
  <c r="L118" i="8"/>
  <c r="P117" i="8"/>
  <c r="L117" i="8"/>
  <c r="P116" i="8"/>
  <c r="L116" i="8"/>
  <c r="P115" i="8"/>
  <c r="L115" i="8"/>
  <c r="P114" i="8"/>
  <c r="L114" i="8"/>
  <c r="P113" i="8"/>
  <c r="L113" i="8"/>
  <c r="P112" i="8"/>
  <c r="L112" i="8"/>
  <c r="P111" i="8"/>
  <c r="L111" i="8"/>
  <c r="P110" i="8"/>
  <c r="L110" i="8"/>
  <c r="P109" i="8"/>
  <c r="L109" i="8"/>
  <c r="P108" i="8"/>
  <c r="L108" i="8"/>
  <c r="P107" i="8"/>
  <c r="L107" i="8"/>
  <c r="P106" i="8"/>
  <c r="L106" i="8"/>
  <c r="P105" i="8"/>
  <c r="L105" i="8"/>
  <c r="P104" i="8"/>
  <c r="L104" i="8"/>
  <c r="P103" i="8"/>
  <c r="L103" i="8"/>
  <c r="P102" i="8"/>
  <c r="L102" i="8"/>
  <c r="P101" i="8"/>
  <c r="L101" i="8"/>
  <c r="P100" i="8"/>
  <c r="L100" i="8"/>
  <c r="P99" i="8"/>
  <c r="L99" i="8"/>
  <c r="P98" i="8"/>
  <c r="L98" i="8"/>
  <c r="P97" i="8"/>
  <c r="L97" i="8"/>
  <c r="P96" i="8"/>
  <c r="L96" i="8"/>
  <c r="P95" i="8"/>
  <c r="L95" i="8"/>
  <c r="P94" i="8"/>
  <c r="L94" i="8"/>
  <c r="P93" i="8"/>
  <c r="L93" i="8"/>
  <c r="P92" i="8"/>
  <c r="L92" i="8"/>
  <c r="P91" i="8"/>
  <c r="L91" i="8"/>
  <c r="P90" i="8"/>
  <c r="L90" i="8"/>
  <c r="P89" i="8"/>
  <c r="L89" i="8"/>
  <c r="P88" i="8"/>
  <c r="L88" i="8"/>
  <c r="P87" i="8"/>
  <c r="L87" i="8"/>
  <c r="P86" i="8"/>
  <c r="L86" i="8"/>
  <c r="P85" i="8"/>
  <c r="L85" i="8"/>
  <c r="P84" i="8"/>
  <c r="L84" i="8"/>
  <c r="P83" i="8"/>
  <c r="L83" i="8"/>
  <c r="P82" i="8"/>
  <c r="L82" i="8"/>
  <c r="P81" i="8"/>
  <c r="L81" i="8"/>
  <c r="P80" i="8"/>
  <c r="L80" i="8"/>
  <c r="P79" i="8"/>
  <c r="L79" i="8"/>
  <c r="P78" i="8"/>
  <c r="L78" i="8"/>
  <c r="P77" i="8"/>
  <c r="L77" i="8"/>
  <c r="P76" i="8"/>
  <c r="L76" i="8"/>
  <c r="P75" i="8"/>
  <c r="L75" i="8"/>
  <c r="P74" i="8"/>
  <c r="L74" i="8"/>
  <c r="P73" i="8"/>
  <c r="L73" i="8"/>
  <c r="P72" i="8"/>
  <c r="L72" i="8"/>
  <c r="P71" i="8"/>
  <c r="L71" i="8"/>
  <c r="P70" i="8"/>
  <c r="L70" i="8"/>
  <c r="P69" i="8"/>
  <c r="L69" i="8"/>
  <c r="P68" i="8"/>
  <c r="L68" i="8"/>
  <c r="P67" i="8"/>
  <c r="L67" i="8"/>
  <c r="P66" i="8"/>
  <c r="L66" i="8"/>
  <c r="P65" i="8"/>
  <c r="L65" i="8"/>
  <c r="P64" i="8"/>
  <c r="L64" i="8"/>
  <c r="P63" i="8"/>
  <c r="L63" i="8"/>
  <c r="P62" i="8"/>
  <c r="L62" i="8"/>
  <c r="P61" i="8"/>
  <c r="L61" i="8"/>
  <c r="P60" i="8"/>
  <c r="L60" i="8"/>
  <c r="P59" i="8"/>
  <c r="L59" i="8"/>
  <c r="P58" i="8"/>
  <c r="L58" i="8"/>
  <c r="P57" i="8"/>
  <c r="L57" i="8"/>
  <c r="P56" i="8"/>
  <c r="L56" i="8"/>
  <c r="P55" i="8"/>
  <c r="L55" i="8"/>
  <c r="P54" i="8"/>
  <c r="L54" i="8"/>
  <c r="P53" i="8"/>
  <c r="L53" i="8"/>
  <c r="P52" i="8"/>
  <c r="L52" i="8"/>
  <c r="P51" i="8"/>
  <c r="L51" i="8"/>
  <c r="P50" i="8"/>
  <c r="L50" i="8"/>
  <c r="P49" i="8"/>
  <c r="L49" i="8"/>
  <c r="P48" i="8"/>
  <c r="L48" i="8"/>
  <c r="P47" i="8"/>
  <c r="L47" i="8"/>
  <c r="P46" i="8"/>
  <c r="L46" i="8"/>
  <c r="P45" i="8"/>
  <c r="L45" i="8"/>
  <c r="P44" i="8"/>
  <c r="L44" i="8"/>
  <c r="P43" i="8"/>
  <c r="L43" i="8"/>
  <c r="P42" i="8"/>
  <c r="L42" i="8"/>
  <c r="P41" i="8"/>
  <c r="L41" i="8"/>
  <c r="P40" i="8"/>
  <c r="L40" i="8"/>
  <c r="P39" i="8"/>
  <c r="L39" i="8"/>
  <c r="P38" i="8"/>
  <c r="L38" i="8"/>
  <c r="P37" i="8"/>
  <c r="L37" i="8"/>
  <c r="P36" i="8"/>
  <c r="L36" i="8"/>
  <c r="P35" i="8"/>
  <c r="L35" i="8"/>
  <c r="P34" i="8"/>
  <c r="L34" i="8"/>
  <c r="P33" i="8"/>
  <c r="L33" i="8"/>
  <c r="P32" i="8"/>
  <c r="L32" i="8"/>
  <c r="P31" i="8"/>
  <c r="L31" i="8"/>
  <c r="P30" i="8"/>
  <c r="L30" i="8"/>
  <c r="P29" i="8"/>
  <c r="L29" i="8"/>
  <c r="P28" i="8"/>
  <c r="L28" i="8"/>
  <c r="P27" i="8"/>
  <c r="L27" i="8"/>
  <c r="P26" i="8"/>
  <c r="L26" i="8"/>
  <c r="P25" i="8"/>
  <c r="L25" i="8"/>
  <c r="P24" i="8"/>
  <c r="L24" i="8"/>
  <c r="P23" i="8"/>
  <c r="L23" i="8"/>
  <c r="P22" i="8"/>
  <c r="L22" i="8"/>
  <c r="P21" i="8"/>
  <c r="L21" i="8"/>
  <c r="P20" i="8"/>
  <c r="L20" i="8"/>
  <c r="P19" i="8"/>
  <c r="L19" i="8"/>
  <c r="P18" i="8"/>
  <c r="D6" i="8" s="1"/>
  <c r="L18" i="8"/>
  <c r="P17" i="8"/>
  <c r="L17" i="8"/>
  <c r="P16" i="8"/>
  <c r="L16" i="8"/>
  <c r="P15" i="8"/>
  <c r="L15" i="8"/>
  <c r="P14" i="8"/>
  <c r="K8" i="8" s="1"/>
  <c r="L14" i="8"/>
  <c r="P13" i="8"/>
  <c r="C13" i="8" s="1"/>
  <c r="L13" i="8"/>
  <c r="P12" i="8"/>
  <c r="L12" i="8"/>
  <c r="P11" i="8"/>
  <c r="L11" i="8"/>
  <c r="E7" i="8"/>
  <c r="E6" i="8"/>
  <c r="O14" i="7"/>
  <c r="M14" i="7"/>
  <c r="K14" i="7"/>
  <c r="O13" i="7"/>
  <c r="M13" i="7"/>
  <c r="K13" i="7"/>
  <c r="D11" i="7" s="1"/>
  <c r="O12" i="7"/>
  <c r="M12" i="7"/>
  <c r="K12" i="7"/>
  <c r="D12" i="7"/>
  <c r="O11" i="7"/>
  <c r="M11" i="7"/>
  <c r="K11" i="7"/>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D11" i="6"/>
  <c r="D10" i="6"/>
  <c r="D9" i="6"/>
  <c r="D8" i="6"/>
  <c r="D7" i="6"/>
  <c r="AH813" i="5"/>
  <c r="K813" i="5"/>
  <c r="AH812" i="5"/>
  <c r="K812" i="5"/>
  <c r="AH811" i="5"/>
  <c r="K811" i="5"/>
  <c r="AH810" i="5"/>
  <c r="K810" i="5"/>
  <c r="AH809" i="5"/>
  <c r="K809" i="5"/>
  <c r="AH808" i="5"/>
  <c r="K808" i="5"/>
  <c r="AH807" i="5"/>
  <c r="K807" i="5"/>
  <c r="AH806" i="5"/>
  <c r="K806" i="5"/>
  <c r="AH805" i="5"/>
  <c r="K805" i="5"/>
  <c r="AH804" i="5"/>
  <c r="K804" i="5"/>
  <c r="AH803" i="5"/>
  <c r="K803" i="5"/>
  <c r="AH802" i="5"/>
  <c r="K802" i="5"/>
  <c r="AH801" i="5"/>
  <c r="K801" i="5"/>
  <c r="AH800" i="5"/>
  <c r="K800" i="5"/>
  <c r="AH799" i="5"/>
  <c r="K799" i="5"/>
  <c r="AH798" i="5"/>
  <c r="K798" i="5"/>
  <c r="AH797" i="5"/>
  <c r="K797" i="5"/>
  <c r="AH796" i="5"/>
  <c r="K796" i="5"/>
  <c r="AH795" i="5"/>
  <c r="K795" i="5"/>
  <c r="AH794" i="5"/>
  <c r="K794" i="5"/>
  <c r="AH793" i="5"/>
  <c r="K793" i="5"/>
  <c r="AH792" i="5"/>
  <c r="K792" i="5"/>
  <c r="AH791" i="5"/>
  <c r="K791" i="5"/>
  <c r="AH790" i="5"/>
  <c r="K790" i="5"/>
  <c r="AH789" i="5"/>
  <c r="K789" i="5"/>
  <c r="AH788" i="5"/>
  <c r="K788" i="5"/>
  <c r="AH787" i="5"/>
  <c r="K787" i="5"/>
  <c r="AH786" i="5"/>
  <c r="K786" i="5"/>
  <c r="AH785" i="5"/>
  <c r="K785" i="5"/>
  <c r="AH784" i="5"/>
  <c r="K784" i="5"/>
  <c r="AH783" i="5"/>
  <c r="K783" i="5"/>
  <c r="AH782" i="5"/>
  <c r="K782" i="5"/>
  <c r="AH781" i="5"/>
  <c r="K781" i="5"/>
  <c r="AH780" i="5"/>
  <c r="K780" i="5"/>
  <c r="AH779" i="5"/>
  <c r="K779" i="5"/>
  <c r="AH778" i="5"/>
  <c r="K778" i="5"/>
  <c r="AH777" i="5"/>
  <c r="K777" i="5"/>
  <c r="AH776" i="5"/>
  <c r="K776" i="5"/>
  <c r="AH775" i="5"/>
  <c r="K775" i="5"/>
  <c r="AH774" i="5"/>
  <c r="K774" i="5"/>
  <c r="AH773" i="5"/>
  <c r="K773" i="5"/>
  <c r="AH772" i="5"/>
  <c r="K772" i="5"/>
  <c r="AH771" i="5"/>
  <c r="K771" i="5"/>
  <c r="AH770" i="5"/>
  <c r="K770" i="5"/>
  <c r="AH769" i="5"/>
  <c r="K769" i="5"/>
  <c r="AH768" i="5"/>
  <c r="K768" i="5"/>
  <c r="AH767" i="5"/>
  <c r="K767" i="5"/>
  <c r="AH766" i="5"/>
  <c r="K766" i="5"/>
  <c r="AH765" i="5"/>
  <c r="K765" i="5"/>
  <c r="AH764" i="5"/>
  <c r="K764" i="5"/>
  <c r="AH763" i="5"/>
  <c r="K763" i="5"/>
  <c r="AH762" i="5"/>
  <c r="K762" i="5"/>
  <c r="AH761" i="5"/>
  <c r="K761" i="5"/>
  <c r="AH760" i="5"/>
  <c r="K760" i="5"/>
  <c r="AH759" i="5"/>
  <c r="K759" i="5"/>
  <c r="AH758" i="5"/>
  <c r="K758" i="5"/>
  <c r="AH757" i="5"/>
  <c r="K757" i="5"/>
  <c r="AH756" i="5"/>
  <c r="K756" i="5"/>
  <c r="AH755" i="5"/>
  <c r="K755" i="5"/>
  <c r="AH754" i="5"/>
  <c r="K754" i="5"/>
  <c r="AH753" i="5"/>
  <c r="K753" i="5"/>
  <c r="AH752" i="5"/>
  <c r="K752" i="5"/>
  <c r="AH751" i="5"/>
  <c r="K751" i="5"/>
  <c r="AH750" i="5"/>
  <c r="K750" i="5"/>
  <c r="AH749" i="5"/>
  <c r="K749" i="5"/>
  <c r="AH748" i="5"/>
  <c r="K748" i="5"/>
  <c r="AH747" i="5"/>
  <c r="K747" i="5"/>
  <c r="AH746" i="5"/>
  <c r="K746" i="5"/>
  <c r="AH745" i="5"/>
  <c r="K745" i="5"/>
  <c r="AH744" i="5"/>
  <c r="K744" i="5"/>
  <c r="AH743" i="5"/>
  <c r="K743" i="5"/>
  <c r="AH742" i="5"/>
  <c r="K742" i="5"/>
  <c r="AH741" i="5"/>
  <c r="K741" i="5"/>
  <c r="AH740" i="5"/>
  <c r="K740" i="5"/>
  <c r="AH739" i="5"/>
  <c r="K739" i="5"/>
  <c r="AH738" i="5"/>
  <c r="K738" i="5"/>
  <c r="AH737" i="5"/>
  <c r="K737" i="5"/>
  <c r="AH736" i="5"/>
  <c r="K736" i="5"/>
  <c r="AH735" i="5"/>
  <c r="K735" i="5"/>
  <c r="AH734" i="5"/>
  <c r="K734" i="5"/>
  <c r="AH733" i="5"/>
  <c r="K733" i="5"/>
  <c r="AH732" i="5"/>
  <c r="K732" i="5"/>
  <c r="AH731" i="5"/>
  <c r="K731" i="5"/>
  <c r="AH730" i="5"/>
  <c r="K730" i="5"/>
  <c r="AH729" i="5"/>
  <c r="K729" i="5"/>
  <c r="AH728" i="5"/>
  <c r="K728" i="5"/>
  <c r="AH727" i="5"/>
  <c r="K727" i="5"/>
  <c r="AH726" i="5"/>
  <c r="K726" i="5"/>
  <c r="AH725" i="5"/>
  <c r="K725" i="5"/>
  <c r="AH724" i="5"/>
  <c r="K724" i="5"/>
  <c r="AH723" i="5"/>
  <c r="K723" i="5"/>
  <c r="AH722" i="5"/>
  <c r="K722" i="5"/>
  <c r="AH721" i="5"/>
  <c r="K721" i="5"/>
  <c r="AH720" i="5"/>
  <c r="K720" i="5"/>
  <c r="AH719" i="5"/>
  <c r="K719" i="5"/>
  <c r="AH718" i="5"/>
  <c r="K718" i="5"/>
  <c r="AH717" i="5"/>
  <c r="K717" i="5"/>
  <c r="AH716" i="5"/>
  <c r="K716" i="5"/>
  <c r="AH715" i="5"/>
  <c r="K715" i="5"/>
  <c r="AH714" i="5"/>
  <c r="K714" i="5"/>
  <c r="AH713" i="5"/>
  <c r="K713" i="5"/>
  <c r="AH712" i="5"/>
  <c r="K712" i="5"/>
  <c r="AH711" i="5"/>
  <c r="K711" i="5"/>
  <c r="AH710" i="5"/>
  <c r="K710" i="5"/>
  <c r="AH709" i="5"/>
  <c r="K709" i="5"/>
  <c r="AH708" i="5"/>
  <c r="K708" i="5"/>
  <c r="AH707" i="5"/>
  <c r="K707" i="5"/>
  <c r="AH706" i="5"/>
  <c r="K706" i="5"/>
  <c r="AH705" i="5"/>
  <c r="K705" i="5"/>
  <c r="AH704" i="5"/>
  <c r="K704" i="5"/>
  <c r="AH703" i="5"/>
  <c r="K703" i="5"/>
  <c r="AH702" i="5"/>
  <c r="K702" i="5"/>
  <c r="AH701" i="5"/>
  <c r="K701" i="5"/>
  <c r="AH700" i="5"/>
  <c r="K700" i="5"/>
  <c r="AH699" i="5"/>
  <c r="K699" i="5"/>
  <c r="AH698" i="5"/>
  <c r="K698" i="5"/>
  <c r="AH697" i="5"/>
  <c r="K697" i="5"/>
  <c r="AH696" i="5"/>
  <c r="K696" i="5"/>
  <c r="AH695" i="5"/>
  <c r="K695" i="5"/>
  <c r="AH694" i="5"/>
  <c r="K694" i="5"/>
  <c r="AH693" i="5"/>
  <c r="K693" i="5"/>
  <c r="AH692" i="5"/>
  <c r="K692" i="5"/>
  <c r="AH691" i="5"/>
  <c r="K691" i="5"/>
  <c r="AH690" i="5"/>
  <c r="K690" i="5"/>
  <c r="AH689" i="5"/>
  <c r="K689" i="5"/>
  <c r="AH688" i="5"/>
  <c r="K688" i="5"/>
  <c r="AH687" i="5"/>
  <c r="K687" i="5"/>
  <c r="AH686" i="5"/>
  <c r="K686" i="5"/>
  <c r="AH685" i="5"/>
  <c r="K685" i="5"/>
  <c r="AH684" i="5"/>
  <c r="K684" i="5"/>
  <c r="AH683" i="5"/>
  <c r="K683" i="5"/>
  <c r="AH682" i="5"/>
  <c r="K682" i="5"/>
  <c r="AH681" i="5"/>
  <c r="K681" i="5"/>
  <c r="AH680" i="5"/>
  <c r="K680" i="5"/>
  <c r="AH679" i="5"/>
  <c r="K679" i="5"/>
  <c r="AH678" i="5"/>
  <c r="K678" i="5"/>
  <c r="AH677" i="5"/>
  <c r="K677" i="5"/>
  <c r="AH676" i="5"/>
  <c r="K676" i="5"/>
  <c r="AH675" i="5"/>
  <c r="K675" i="5"/>
  <c r="AH674" i="5"/>
  <c r="K674" i="5"/>
  <c r="AH673" i="5"/>
  <c r="K673" i="5"/>
  <c r="AH672" i="5"/>
  <c r="K672" i="5"/>
  <c r="AH671" i="5"/>
  <c r="K671" i="5"/>
  <c r="AH670" i="5"/>
  <c r="K670" i="5"/>
  <c r="AH669" i="5"/>
  <c r="K669" i="5"/>
  <c r="AH668" i="5"/>
  <c r="K668" i="5"/>
  <c r="AH667" i="5"/>
  <c r="K667" i="5"/>
  <c r="AH666" i="5"/>
  <c r="K666" i="5"/>
  <c r="AH665" i="5"/>
  <c r="K665" i="5"/>
  <c r="AH664" i="5"/>
  <c r="K664" i="5"/>
  <c r="AH663" i="5"/>
  <c r="K663" i="5"/>
  <c r="AH662" i="5"/>
  <c r="K662" i="5"/>
  <c r="AH661" i="5"/>
  <c r="K661" i="5"/>
  <c r="AH660" i="5"/>
  <c r="K660" i="5"/>
  <c r="AH659" i="5"/>
  <c r="K659" i="5"/>
  <c r="AH658" i="5"/>
  <c r="K658" i="5"/>
  <c r="AH657" i="5"/>
  <c r="K657" i="5"/>
  <c r="AH656" i="5"/>
  <c r="K656" i="5"/>
  <c r="AH655" i="5"/>
  <c r="K655" i="5"/>
  <c r="AH654" i="5"/>
  <c r="K654" i="5"/>
  <c r="AH653" i="5"/>
  <c r="K653" i="5"/>
  <c r="AH652" i="5"/>
  <c r="K652" i="5"/>
  <c r="AH651" i="5"/>
  <c r="K651" i="5"/>
  <c r="AH650" i="5"/>
  <c r="K650" i="5"/>
  <c r="AH649" i="5"/>
  <c r="K649" i="5"/>
  <c r="AH648" i="5"/>
  <c r="K648" i="5"/>
  <c r="AH647" i="5"/>
  <c r="K647" i="5"/>
  <c r="AH646" i="5"/>
  <c r="K646" i="5"/>
  <c r="AH645" i="5"/>
  <c r="K645" i="5"/>
  <c r="AH644" i="5"/>
  <c r="K644" i="5"/>
  <c r="AH643" i="5"/>
  <c r="K643" i="5"/>
  <c r="AH642" i="5"/>
  <c r="K642" i="5"/>
  <c r="AH641" i="5"/>
  <c r="K641" i="5"/>
  <c r="AH640" i="5"/>
  <c r="K640" i="5"/>
  <c r="AH639" i="5"/>
  <c r="K639" i="5"/>
  <c r="AH638" i="5"/>
  <c r="K638" i="5"/>
  <c r="AH637" i="5"/>
  <c r="K637" i="5"/>
  <c r="AH636" i="5"/>
  <c r="K636" i="5"/>
  <c r="AH635" i="5"/>
  <c r="K635" i="5"/>
  <c r="AH634" i="5"/>
  <c r="K634" i="5"/>
  <c r="AH633" i="5"/>
  <c r="K633" i="5"/>
  <c r="AH632" i="5"/>
  <c r="K632" i="5"/>
  <c r="AH631" i="5"/>
  <c r="K631" i="5"/>
  <c r="AH630" i="5"/>
  <c r="K630" i="5"/>
  <c r="AH629" i="5"/>
  <c r="K629" i="5"/>
  <c r="AH628" i="5"/>
  <c r="K628" i="5"/>
  <c r="AH627" i="5"/>
  <c r="K627" i="5"/>
  <c r="AH626" i="5"/>
  <c r="K626" i="5"/>
  <c r="AH625" i="5"/>
  <c r="K625" i="5"/>
  <c r="AH624" i="5"/>
  <c r="K624" i="5"/>
  <c r="AH623" i="5"/>
  <c r="K623" i="5"/>
  <c r="AH622" i="5"/>
  <c r="K622" i="5"/>
  <c r="AH621" i="5"/>
  <c r="K621" i="5"/>
  <c r="AH620" i="5"/>
  <c r="K620" i="5"/>
  <c r="AH619" i="5"/>
  <c r="K619" i="5"/>
  <c r="AH618" i="5"/>
  <c r="K618" i="5"/>
  <c r="AH617" i="5"/>
  <c r="K617" i="5"/>
  <c r="AH616" i="5"/>
  <c r="K616" i="5"/>
  <c r="AH615" i="5"/>
  <c r="K615" i="5"/>
  <c r="AH614" i="5"/>
  <c r="K614" i="5"/>
  <c r="AH613" i="5"/>
  <c r="K613" i="5"/>
  <c r="AH612" i="5"/>
  <c r="K612" i="5"/>
  <c r="AH611" i="5"/>
  <c r="K611" i="5"/>
  <c r="AH610" i="5"/>
  <c r="K610" i="5"/>
  <c r="AH609" i="5"/>
  <c r="K609" i="5"/>
  <c r="AH608" i="5"/>
  <c r="K608" i="5"/>
  <c r="AH607" i="5"/>
  <c r="K607" i="5"/>
  <c r="AH606" i="5"/>
  <c r="K606" i="5"/>
  <c r="AH605" i="5"/>
  <c r="K605" i="5"/>
  <c r="AH604" i="5"/>
  <c r="K604" i="5"/>
  <c r="AH603" i="5"/>
  <c r="K603" i="5"/>
  <c r="AH602" i="5"/>
  <c r="K602" i="5"/>
  <c r="AH601" i="5"/>
  <c r="K601" i="5"/>
  <c r="AH600" i="5"/>
  <c r="K600" i="5"/>
  <c r="AH599" i="5"/>
  <c r="K599" i="5"/>
  <c r="AH598" i="5"/>
  <c r="K598" i="5"/>
  <c r="AH597" i="5"/>
  <c r="K597" i="5"/>
  <c r="AH596" i="5"/>
  <c r="K596" i="5"/>
  <c r="AH595" i="5"/>
  <c r="K595" i="5"/>
  <c r="AH594" i="5"/>
  <c r="K594" i="5"/>
  <c r="AH593" i="5"/>
  <c r="K593" i="5"/>
  <c r="AH592" i="5"/>
  <c r="K592" i="5"/>
  <c r="AH591" i="5"/>
  <c r="K591" i="5"/>
  <c r="AH590" i="5"/>
  <c r="K590" i="5"/>
  <c r="AH589" i="5"/>
  <c r="K589" i="5"/>
  <c r="AH588" i="5"/>
  <c r="K588" i="5"/>
  <c r="AH587" i="5"/>
  <c r="K587" i="5"/>
  <c r="AH586" i="5"/>
  <c r="K586" i="5"/>
  <c r="AH585" i="5"/>
  <c r="K585" i="5"/>
  <c r="AH584" i="5"/>
  <c r="K584" i="5"/>
  <c r="AH583" i="5"/>
  <c r="K583" i="5"/>
  <c r="AH582" i="5"/>
  <c r="K582" i="5"/>
  <c r="AH581" i="5"/>
  <c r="K581" i="5"/>
  <c r="AH580" i="5"/>
  <c r="K580" i="5"/>
  <c r="AH579" i="5"/>
  <c r="K579" i="5"/>
  <c r="AH578" i="5"/>
  <c r="K578" i="5"/>
  <c r="AH577" i="5"/>
  <c r="K577" i="5"/>
  <c r="AH576" i="5"/>
  <c r="K576" i="5"/>
  <c r="AH575" i="5"/>
  <c r="K575" i="5"/>
  <c r="AH574" i="5"/>
  <c r="K574" i="5"/>
  <c r="AH573" i="5"/>
  <c r="K573" i="5"/>
  <c r="AH572" i="5"/>
  <c r="K572" i="5"/>
  <c r="AH571" i="5"/>
  <c r="K571" i="5"/>
  <c r="AH570" i="5"/>
  <c r="K570" i="5"/>
  <c r="AH569" i="5"/>
  <c r="K569" i="5"/>
  <c r="AH568" i="5"/>
  <c r="K568" i="5"/>
  <c r="AH567" i="5"/>
  <c r="K567" i="5"/>
  <c r="AH566" i="5"/>
  <c r="K566" i="5"/>
  <c r="AH565" i="5"/>
  <c r="K565" i="5"/>
  <c r="AH564" i="5"/>
  <c r="K564" i="5"/>
  <c r="AH563" i="5"/>
  <c r="K563" i="5"/>
  <c r="AH562" i="5"/>
  <c r="K562" i="5"/>
  <c r="AH561" i="5"/>
  <c r="K561" i="5"/>
  <c r="AH560" i="5"/>
  <c r="K560" i="5"/>
  <c r="AH559" i="5"/>
  <c r="K559" i="5"/>
  <c r="AH558" i="5"/>
  <c r="K558" i="5"/>
  <c r="AH557" i="5"/>
  <c r="K557" i="5"/>
  <c r="AH556" i="5"/>
  <c r="K556" i="5"/>
  <c r="AH555" i="5"/>
  <c r="K555" i="5"/>
  <c r="AH554" i="5"/>
  <c r="K554" i="5"/>
  <c r="AH553" i="5"/>
  <c r="K553" i="5"/>
  <c r="AH552" i="5"/>
  <c r="K552" i="5"/>
  <c r="AH551" i="5"/>
  <c r="K551" i="5"/>
  <c r="AH550" i="5"/>
  <c r="K550" i="5"/>
  <c r="AH549" i="5"/>
  <c r="K549" i="5"/>
  <c r="AH548" i="5"/>
  <c r="K548" i="5"/>
  <c r="AH547" i="5"/>
  <c r="K547" i="5"/>
  <c r="AH546" i="5"/>
  <c r="K546" i="5"/>
  <c r="AH545" i="5"/>
  <c r="K545" i="5"/>
  <c r="AH544" i="5"/>
  <c r="K544" i="5"/>
  <c r="AH543" i="5"/>
  <c r="K543" i="5"/>
  <c r="AH542" i="5"/>
  <c r="K542" i="5"/>
  <c r="AH541" i="5"/>
  <c r="K541" i="5"/>
  <c r="AH540" i="5"/>
  <c r="K540" i="5"/>
  <c r="AH539" i="5"/>
  <c r="K539" i="5"/>
  <c r="AH538" i="5"/>
  <c r="K538" i="5"/>
  <c r="AH537" i="5"/>
  <c r="K537" i="5"/>
  <c r="AH536" i="5"/>
  <c r="K536" i="5"/>
  <c r="AH535" i="5"/>
  <c r="K535" i="5"/>
  <c r="AH534" i="5"/>
  <c r="K534" i="5"/>
  <c r="AH533" i="5"/>
  <c r="K533" i="5"/>
  <c r="AH532" i="5"/>
  <c r="K532" i="5"/>
  <c r="AH531" i="5"/>
  <c r="K531" i="5"/>
  <c r="AH530" i="5"/>
  <c r="K530" i="5"/>
  <c r="AH529" i="5"/>
  <c r="K529" i="5"/>
  <c r="AH528" i="5"/>
  <c r="K528" i="5"/>
  <c r="AH527" i="5"/>
  <c r="K527" i="5"/>
  <c r="AH526" i="5"/>
  <c r="K526" i="5"/>
  <c r="AH525" i="5"/>
  <c r="K525" i="5"/>
  <c r="AH524" i="5"/>
  <c r="K524" i="5"/>
  <c r="AH523" i="5"/>
  <c r="K523" i="5"/>
  <c r="AH522" i="5"/>
  <c r="K522" i="5"/>
  <c r="AH521" i="5"/>
  <c r="K521" i="5"/>
  <c r="AH520" i="5"/>
  <c r="K520" i="5"/>
  <c r="AH519" i="5"/>
  <c r="K519" i="5"/>
  <c r="AH518" i="5"/>
  <c r="K518" i="5"/>
  <c r="AH517" i="5"/>
  <c r="K517" i="5"/>
  <c r="AH516" i="5"/>
  <c r="K516" i="5"/>
  <c r="AH515" i="5"/>
  <c r="K515" i="5"/>
  <c r="AH514" i="5"/>
  <c r="K514" i="5"/>
  <c r="AH513" i="5"/>
  <c r="K513" i="5"/>
  <c r="AH512" i="5"/>
  <c r="K512" i="5"/>
  <c r="AH511" i="5"/>
  <c r="K511" i="5"/>
  <c r="AH510" i="5"/>
  <c r="K510" i="5"/>
  <c r="AH509" i="5"/>
  <c r="K509" i="5"/>
  <c r="AH508" i="5"/>
  <c r="K508" i="5"/>
  <c r="AH507" i="5"/>
  <c r="K507" i="5"/>
  <c r="AH506" i="5"/>
  <c r="K506" i="5"/>
  <c r="AH505" i="5"/>
  <c r="K505" i="5"/>
  <c r="AH504" i="5"/>
  <c r="K504" i="5"/>
  <c r="AH503" i="5"/>
  <c r="K503" i="5"/>
  <c r="AH502" i="5"/>
  <c r="K502" i="5"/>
  <c r="AH501" i="5"/>
  <c r="K501" i="5"/>
  <c r="AH500" i="5"/>
  <c r="K500" i="5"/>
  <c r="AH499" i="5"/>
  <c r="K499" i="5"/>
  <c r="AH498" i="5"/>
  <c r="K498" i="5"/>
  <c r="AH497" i="5"/>
  <c r="K497" i="5"/>
  <c r="AH496" i="5"/>
  <c r="K496" i="5"/>
  <c r="AH495" i="5"/>
  <c r="K495" i="5"/>
  <c r="AH494" i="5"/>
  <c r="K494" i="5"/>
  <c r="AH493" i="5"/>
  <c r="K493" i="5"/>
  <c r="AH492" i="5"/>
  <c r="K492" i="5"/>
  <c r="AH491" i="5"/>
  <c r="K491" i="5"/>
  <c r="AH490" i="5"/>
  <c r="K490" i="5"/>
  <c r="AH489" i="5"/>
  <c r="K489" i="5"/>
  <c r="AH488" i="5"/>
  <c r="K488" i="5"/>
  <c r="AH487" i="5"/>
  <c r="K487" i="5"/>
  <c r="AH486" i="5"/>
  <c r="K486" i="5"/>
  <c r="AH485" i="5"/>
  <c r="K485" i="5"/>
  <c r="AH484" i="5"/>
  <c r="K484" i="5"/>
  <c r="AH483" i="5"/>
  <c r="K483" i="5"/>
  <c r="AH482" i="5"/>
  <c r="K482" i="5"/>
  <c r="AH481" i="5"/>
  <c r="K481" i="5"/>
  <c r="AH480" i="5"/>
  <c r="K480" i="5"/>
  <c r="AH479" i="5"/>
  <c r="K479" i="5"/>
  <c r="AH478" i="5"/>
  <c r="K478" i="5"/>
  <c r="AH477" i="5"/>
  <c r="K477" i="5"/>
  <c r="AH476" i="5"/>
  <c r="K476" i="5"/>
  <c r="AH475" i="5"/>
  <c r="K475" i="5"/>
  <c r="AH474" i="5"/>
  <c r="K474" i="5"/>
  <c r="AH473" i="5"/>
  <c r="K473" i="5"/>
  <c r="AH472" i="5"/>
  <c r="K472" i="5"/>
  <c r="AH471" i="5"/>
  <c r="K471" i="5"/>
  <c r="AH470" i="5"/>
  <c r="K470" i="5"/>
  <c r="AH469" i="5"/>
  <c r="K469" i="5"/>
  <c r="AH468" i="5"/>
  <c r="K468" i="5"/>
  <c r="AH467" i="5"/>
  <c r="K467" i="5"/>
  <c r="AH466" i="5"/>
  <c r="K466" i="5"/>
  <c r="AH465" i="5"/>
  <c r="K465" i="5"/>
  <c r="AH464" i="5"/>
  <c r="K464" i="5"/>
  <c r="AH463" i="5"/>
  <c r="K463" i="5"/>
  <c r="AH462" i="5"/>
  <c r="K462" i="5"/>
  <c r="AH461" i="5"/>
  <c r="K461" i="5"/>
  <c r="AH460" i="5"/>
  <c r="K460" i="5"/>
  <c r="AH459" i="5"/>
  <c r="K459" i="5"/>
  <c r="AH458" i="5"/>
  <c r="K458" i="5"/>
  <c r="AH457" i="5"/>
  <c r="K457" i="5"/>
  <c r="AH456" i="5"/>
  <c r="K456" i="5"/>
  <c r="AH455" i="5"/>
  <c r="K455" i="5"/>
  <c r="AH454" i="5"/>
  <c r="K454" i="5"/>
  <c r="AH453" i="5"/>
  <c r="K453" i="5"/>
  <c r="AH452" i="5"/>
  <c r="K452" i="5"/>
  <c r="AH451" i="5"/>
  <c r="K451" i="5"/>
  <c r="AH450" i="5"/>
  <c r="K450" i="5"/>
  <c r="AH449" i="5"/>
  <c r="K449" i="5"/>
  <c r="AH448" i="5"/>
  <c r="K448" i="5"/>
  <c r="AH447" i="5"/>
  <c r="K447" i="5"/>
  <c r="AH446" i="5"/>
  <c r="K446" i="5"/>
  <c r="AH445" i="5"/>
  <c r="K445" i="5"/>
  <c r="AH444" i="5"/>
  <c r="K444" i="5"/>
  <c r="AH443" i="5"/>
  <c r="K443" i="5"/>
  <c r="AH442" i="5"/>
  <c r="K442" i="5"/>
  <c r="AH441" i="5"/>
  <c r="K441" i="5"/>
  <c r="AH440" i="5"/>
  <c r="K440" i="5"/>
  <c r="AH439" i="5"/>
  <c r="K439" i="5"/>
  <c r="AH438" i="5"/>
  <c r="K438" i="5"/>
  <c r="AH437" i="5"/>
  <c r="K437" i="5"/>
  <c r="AH436" i="5"/>
  <c r="K436" i="5"/>
  <c r="AH435" i="5"/>
  <c r="K435" i="5"/>
  <c r="AH434" i="5"/>
  <c r="K434" i="5"/>
  <c r="AH433" i="5"/>
  <c r="K433" i="5"/>
  <c r="AH432" i="5"/>
  <c r="K432" i="5"/>
  <c r="AH431" i="5"/>
  <c r="K431" i="5"/>
  <c r="AH430" i="5"/>
  <c r="K430" i="5"/>
  <c r="AH429" i="5"/>
  <c r="K429" i="5"/>
  <c r="AH428" i="5"/>
  <c r="K428" i="5"/>
  <c r="AH427" i="5"/>
  <c r="K427" i="5"/>
  <c r="AH426" i="5"/>
  <c r="K426" i="5"/>
  <c r="AH425" i="5"/>
  <c r="K425" i="5"/>
  <c r="AH424" i="5"/>
  <c r="K424" i="5"/>
  <c r="AH423" i="5"/>
  <c r="K423" i="5"/>
  <c r="AH422" i="5"/>
  <c r="K422" i="5"/>
  <c r="AH421" i="5"/>
  <c r="K421" i="5"/>
  <c r="AH420" i="5"/>
  <c r="K420" i="5"/>
  <c r="AH419" i="5"/>
  <c r="K419" i="5"/>
  <c r="AH418" i="5"/>
  <c r="K418" i="5"/>
  <c r="AH417" i="5"/>
  <c r="K417" i="5"/>
  <c r="AH416" i="5"/>
  <c r="K416" i="5"/>
  <c r="AH415" i="5"/>
  <c r="K415" i="5"/>
  <c r="AH414" i="5"/>
  <c r="K414" i="5"/>
  <c r="AH413" i="5"/>
  <c r="K413" i="5"/>
  <c r="AH412" i="5"/>
  <c r="K412" i="5"/>
  <c r="AH411" i="5"/>
  <c r="K411" i="5"/>
  <c r="AH410" i="5"/>
  <c r="K410" i="5"/>
  <c r="AH409" i="5"/>
  <c r="K409" i="5"/>
  <c r="AH408" i="5"/>
  <c r="K408" i="5"/>
  <c r="AH407" i="5"/>
  <c r="K407" i="5"/>
  <c r="AH406" i="5"/>
  <c r="K406" i="5"/>
  <c r="AH405" i="5"/>
  <c r="K405" i="5"/>
  <c r="AH404" i="5"/>
  <c r="K404" i="5"/>
  <c r="AH403" i="5"/>
  <c r="K403" i="5"/>
  <c r="AH402" i="5"/>
  <c r="K402" i="5"/>
  <c r="AH401" i="5"/>
  <c r="K401" i="5"/>
  <c r="AH400" i="5"/>
  <c r="K400" i="5"/>
  <c r="AH399" i="5"/>
  <c r="K399" i="5"/>
  <c r="AH398" i="5"/>
  <c r="K398" i="5"/>
  <c r="AH397" i="5"/>
  <c r="K397" i="5"/>
  <c r="AH396" i="5"/>
  <c r="K396" i="5"/>
  <c r="AH395" i="5"/>
  <c r="K395" i="5"/>
  <c r="AH394" i="5"/>
  <c r="K394" i="5"/>
  <c r="AH393" i="5"/>
  <c r="K393" i="5"/>
  <c r="AH392" i="5"/>
  <c r="K392" i="5"/>
  <c r="AH391" i="5"/>
  <c r="K391" i="5"/>
  <c r="AH390" i="5"/>
  <c r="K390" i="5"/>
  <c r="AH389" i="5"/>
  <c r="K389" i="5"/>
  <c r="AH388" i="5"/>
  <c r="K388" i="5"/>
  <c r="AH387" i="5"/>
  <c r="K387" i="5"/>
  <c r="AH386" i="5"/>
  <c r="K386" i="5"/>
  <c r="AH385" i="5"/>
  <c r="K385" i="5"/>
  <c r="AH384" i="5"/>
  <c r="K384" i="5"/>
  <c r="AH383" i="5"/>
  <c r="K383" i="5"/>
  <c r="AH382" i="5"/>
  <c r="K382" i="5"/>
  <c r="AH381" i="5"/>
  <c r="K381" i="5"/>
  <c r="AH380" i="5"/>
  <c r="K380" i="5"/>
  <c r="AH379" i="5"/>
  <c r="K379" i="5"/>
  <c r="AH378" i="5"/>
  <c r="K378" i="5"/>
  <c r="AH377" i="5"/>
  <c r="K377" i="5"/>
  <c r="AH376" i="5"/>
  <c r="K376" i="5"/>
  <c r="AH375" i="5"/>
  <c r="K375" i="5"/>
  <c r="AH374" i="5"/>
  <c r="K374" i="5"/>
  <c r="AH373" i="5"/>
  <c r="K373" i="5"/>
  <c r="AH372" i="5"/>
  <c r="K372" i="5"/>
  <c r="AH371" i="5"/>
  <c r="K371" i="5"/>
  <c r="AH370" i="5"/>
  <c r="K370" i="5"/>
  <c r="AH369" i="5"/>
  <c r="K369" i="5"/>
  <c r="AH368" i="5"/>
  <c r="K368" i="5"/>
  <c r="AH367" i="5"/>
  <c r="K367" i="5"/>
  <c r="AH366" i="5"/>
  <c r="K366" i="5"/>
  <c r="AH365" i="5"/>
  <c r="K365" i="5"/>
  <c r="AH364" i="5"/>
  <c r="K364" i="5"/>
  <c r="AH363" i="5"/>
  <c r="K363" i="5"/>
  <c r="AH362" i="5"/>
  <c r="K362" i="5"/>
  <c r="AH361" i="5"/>
  <c r="K361" i="5"/>
  <c r="AH360" i="5"/>
  <c r="K360" i="5"/>
  <c r="AH359" i="5"/>
  <c r="K359" i="5"/>
  <c r="AH358" i="5"/>
  <c r="K358" i="5"/>
  <c r="AH357" i="5"/>
  <c r="K357" i="5"/>
  <c r="AH356" i="5"/>
  <c r="K356" i="5"/>
  <c r="AH355" i="5"/>
  <c r="K355" i="5"/>
  <c r="AH354" i="5"/>
  <c r="K354" i="5"/>
  <c r="AH353" i="5"/>
  <c r="K353" i="5"/>
  <c r="AH352" i="5"/>
  <c r="K352" i="5"/>
  <c r="AH351" i="5"/>
  <c r="K351" i="5"/>
  <c r="AH350" i="5"/>
  <c r="K350" i="5"/>
  <c r="AH349" i="5"/>
  <c r="K349" i="5"/>
  <c r="AH348" i="5"/>
  <c r="K348" i="5"/>
  <c r="AH347" i="5"/>
  <c r="K347" i="5"/>
  <c r="AH346" i="5"/>
  <c r="K346" i="5"/>
  <c r="AH345" i="5"/>
  <c r="K345" i="5"/>
  <c r="AH344" i="5"/>
  <c r="K344" i="5"/>
  <c r="AH343" i="5"/>
  <c r="K343" i="5"/>
  <c r="AH342" i="5"/>
  <c r="K342" i="5"/>
  <c r="AH341" i="5"/>
  <c r="K341" i="5"/>
  <c r="AH340" i="5"/>
  <c r="K340" i="5"/>
  <c r="AH339" i="5"/>
  <c r="K339" i="5"/>
  <c r="AH338" i="5"/>
  <c r="K338" i="5"/>
  <c r="AH337" i="5"/>
  <c r="K337" i="5"/>
  <c r="AH336" i="5"/>
  <c r="K336" i="5"/>
  <c r="AH335" i="5"/>
  <c r="K335" i="5"/>
  <c r="AH334" i="5"/>
  <c r="K334" i="5"/>
  <c r="AH333" i="5"/>
  <c r="K333" i="5"/>
  <c r="AH332" i="5"/>
  <c r="K332" i="5"/>
  <c r="AH331" i="5"/>
  <c r="K331" i="5"/>
  <c r="AH330" i="5"/>
  <c r="K330" i="5"/>
  <c r="AH329" i="5"/>
  <c r="K329" i="5"/>
  <c r="AH328" i="5"/>
  <c r="K328" i="5"/>
  <c r="AH327" i="5"/>
  <c r="K327" i="5"/>
  <c r="AH326" i="5"/>
  <c r="K326" i="5"/>
  <c r="AH325" i="5"/>
  <c r="K325" i="5"/>
  <c r="AH324" i="5"/>
  <c r="K324" i="5"/>
  <c r="AH323" i="5"/>
  <c r="K323" i="5"/>
  <c r="AH322" i="5"/>
  <c r="K322" i="5"/>
  <c r="AH321" i="5"/>
  <c r="K321" i="5"/>
  <c r="AH320" i="5"/>
  <c r="K320" i="5"/>
  <c r="AH319" i="5"/>
  <c r="K319" i="5"/>
  <c r="AH318" i="5"/>
  <c r="K318" i="5"/>
  <c r="AH317" i="5"/>
  <c r="K317" i="5"/>
  <c r="AH316" i="5"/>
  <c r="K316" i="5"/>
  <c r="AH315" i="5"/>
  <c r="K315" i="5"/>
  <c r="AH314" i="5"/>
  <c r="K314" i="5"/>
  <c r="AH313" i="5"/>
  <c r="K313" i="5"/>
  <c r="AH312" i="5"/>
  <c r="K312" i="5"/>
  <c r="AH311" i="5"/>
  <c r="K311" i="5"/>
  <c r="AH310" i="5"/>
  <c r="K310" i="5"/>
  <c r="AH309" i="5"/>
  <c r="K309" i="5"/>
  <c r="AH308" i="5"/>
  <c r="K308" i="5"/>
  <c r="AH307" i="5"/>
  <c r="K307" i="5"/>
  <c r="AH306" i="5"/>
  <c r="K306" i="5"/>
  <c r="AH305" i="5"/>
  <c r="K305" i="5"/>
  <c r="AH304" i="5"/>
  <c r="K304" i="5"/>
  <c r="AH303" i="5"/>
  <c r="K303" i="5"/>
  <c r="AH302" i="5"/>
  <c r="K302" i="5"/>
  <c r="AH301" i="5"/>
  <c r="K301" i="5"/>
  <c r="AH300" i="5"/>
  <c r="K300" i="5"/>
  <c r="AH299" i="5"/>
  <c r="K299" i="5"/>
  <c r="AH298" i="5"/>
  <c r="K298" i="5"/>
  <c r="AH297" i="5"/>
  <c r="K297" i="5"/>
  <c r="AH296" i="5"/>
  <c r="K296" i="5"/>
  <c r="AH295" i="5"/>
  <c r="K295" i="5"/>
  <c r="AH294" i="5"/>
  <c r="K294" i="5"/>
  <c r="AH293" i="5"/>
  <c r="K293" i="5"/>
  <c r="AH292" i="5"/>
  <c r="K292" i="5"/>
  <c r="AH291" i="5"/>
  <c r="K291" i="5"/>
  <c r="AH290" i="5"/>
  <c r="K290" i="5"/>
  <c r="AH289" i="5"/>
  <c r="K289" i="5"/>
  <c r="AH288" i="5"/>
  <c r="K288" i="5"/>
  <c r="AH287" i="5"/>
  <c r="K287" i="5"/>
  <c r="AH286" i="5"/>
  <c r="K286" i="5"/>
  <c r="AH285" i="5"/>
  <c r="K285" i="5"/>
  <c r="AH284" i="5"/>
  <c r="K284" i="5"/>
  <c r="AH283" i="5"/>
  <c r="K283" i="5"/>
  <c r="AH282" i="5"/>
  <c r="K282" i="5"/>
  <c r="AH281" i="5"/>
  <c r="K281" i="5"/>
  <c r="AH280" i="5"/>
  <c r="K280" i="5"/>
  <c r="AH279" i="5"/>
  <c r="K279" i="5"/>
  <c r="AH278" i="5"/>
  <c r="K278" i="5"/>
  <c r="AH277" i="5"/>
  <c r="K277" i="5"/>
  <c r="AH276" i="5"/>
  <c r="K276" i="5"/>
  <c r="AH275" i="5"/>
  <c r="K275" i="5"/>
  <c r="AH274" i="5"/>
  <c r="K274" i="5"/>
  <c r="AH273" i="5"/>
  <c r="K273" i="5"/>
  <c r="AH272" i="5"/>
  <c r="K272" i="5"/>
  <c r="AH271" i="5"/>
  <c r="K271" i="5"/>
  <c r="AH270" i="5"/>
  <c r="K270" i="5"/>
  <c r="AH269" i="5"/>
  <c r="K269" i="5"/>
  <c r="AH268" i="5"/>
  <c r="K268" i="5"/>
  <c r="AH267" i="5"/>
  <c r="K267" i="5"/>
  <c r="AH266" i="5"/>
  <c r="K266" i="5"/>
  <c r="AH265" i="5"/>
  <c r="K265" i="5"/>
  <c r="AH264" i="5"/>
  <c r="K264" i="5"/>
  <c r="AH263" i="5"/>
  <c r="K263" i="5"/>
  <c r="AH262" i="5"/>
  <c r="K262" i="5"/>
  <c r="AH261" i="5"/>
  <c r="K261" i="5"/>
  <c r="AH260" i="5"/>
  <c r="K260" i="5"/>
  <c r="AH259" i="5"/>
  <c r="K259" i="5"/>
  <c r="AH258" i="5"/>
  <c r="K258" i="5"/>
  <c r="AH257" i="5"/>
  <c r="K257" i="5"/>
  <c r="AH256" i="5"/>
  <c r="K256" i="5"/>
  <c r="AH255" i="5"/>
  <c r="K255" i="5"/>
  <c r="AH254" i="5"/>
  <c r="K254" i="5"/>
  <c r="AH253" i="5"/>
  <c r="K253" i="5"/>
  <c r="AH252" i="5"/>
  <c r="K252" i="5"/>
  <c r="AH251" i="5"/>
  <c r="K251" i="5"/>
  <c r="AH250" i="5"/>
  <c r="K250" i="5"/>
  <c r="AH249" i="5"/>
  <c r="K249" i="5"/>
  <c r="AH248" i="5"/>
  <c r="K248" i="5"/>
  <c r="AH247" i="5"/>
  <c r="K247" i="5"/>
  <c r="AH246" i="5"/>
  <c r="K246" i="5"/>
  <c r="AH245" i="5"/>
  <c r="K245" i="5"/>
  <c r="AH244" i="5"/>
  <c r="K244" i="5"/>
  <c r="AH243" i="5"/>
  <c r="K243" i="5"/>
  <c r="AH242" i="5"/>
  <c r="K242" i="5"/>
  <c r="AH241" i="5"/>
  <c r="K241" i="5"/>
  <c r="AH240" i="5"/>
  <c r="K240" i="5"/>
  <c r="AH239" i="5"/>
  <c r="K239" i="5"/>
  <c r="AH238" i="5"/>
  <c r="K238" i="5"/>
  <c r="AH237" i="5"/>
  <c r="K237" i="5"/>
  <c r="AH236" i="5"/>
  <c r="K236" i="5"/>
  <c r="AH235" i="5"/>
  <c r="K235" i="5"/>
  <c r="AH234" i="5"/>
  <c r="K234" i="5"/>
  <c r="AH233" i="5"/>
  <c r="K233" i="5"/>
  <c r="AH232" i="5"/>
  <c r="K232" i="5"/>
  <c r="AH231" i="5"/>
  <c r="K231" i="5"/>
  <c r="AH230" i="5"/>
  <c r="K230" i="5"/>
  <c r="AH229" i="5"/>
  <c r="K229" i="5"/>
  <c r="AH228" i="5"/>
  <c r="K228" i="5"/>
  <c r="AH227" i="5"/>
  <c r="K227" i="5"/>
  <c r="AH226" i="5"/>
  <c r="K226" i="5"/>
  <c r="AH225" i="5"/>
  <c r="K225" i="5"/>
  <c r="AH224" i="5"/>
  <c r="K224" i="5"/>
  <c r="AH223" i="5"/>
  <c r="K223" i="5"/>
  <c r="AH222" i="5"/>
  <c r="K222" i="5"/>
  <c r="AH221" i="5"/>
  <c r="K221" i="5"/>
  <c r="AH220" i="5"/>
  <c r="K220" i="5"/>
  <c r="AH219" i="5"/>
  <c r="K219" i="5"/>
  <c r="AH218" i="5"/>
  <c r="K218" i="5"/>
  <c r="AH217" i="5"/>
  <c r="K217" i="5"/>
  <c r="AH216" i="5"/>
  <c r="K216" i="5"/>
  <c r="AH215" i="5"/>
  <c r="K215" i="5"/>
  <c r="AH214" i="5"/>
  <c r="K214" i="5"/>
  <c r="AH213" i="5"/>
  <c r="K213" i="5"/>
  <c r="AH212" i="5"/>
  <c r="K212" i="5"/>
  <c r="AH211" i="5"/>
  <c r="K211" i="5"/>
  <c r="AH210" i="5"/>
  <c r="K210" i="5"/>
  <c r="AH209" i="5"/>
  <c r="K209" i="5"/>
  <c r="AH208" i="5"/>
  <c r="K208" i="5"/>
  <c r="AH207" i="5"/>
  <c r="K207" i="5"/>
  <c r="AH206" i="5"/>
  <c r="K206" i="5"/>
  <c r="AH205" i="5"/>
  <c r="K205" i="5"/>
  <c r="AH204" i="5"/>
  <c r="K204" i="5"/>
  <c r="AH203" i="5"/>
  <c r="K203" i="5"/>
  <c r="AH202" i="5"/>
  <c r="K202" i="5"/>
  <c r="AH201" i="5"/>
  <c r="K201" i="5"/>
  <c r="AH200" i="5"/>
  <c r="K200" i="5"/>
  <c r="AH199" i="5"/>
  <c r="K199" i="5"/>
  <c r="AH198" i="5"/>
  <c r="K198" i="5"/>
  <c r="AH197" i="5"/>
  <c r="K197" i="5"/>
  <c r="AH196" i="5"/>
  <c r="K196" i="5"/>
  <c r="AH195" i="5"/>
  <c r="K195" i="5"/>
  <c r="AH194" i="5"/>
  <c r="K194" i="5"/>
  <c r="AH193" i="5"/>
  <c r="K193" i="5"/>
  <c r="AH192" i="5"/>
  <c r="K192" i="5"/>
  <c r="AH191" i="5"/>
  <c r="K191" i="5"/>
  <c r="AH190" i="5"/>
  <c r="K190" i="5"/>
  <c r="AH189" i="5"/>
  <c r="K189" i="5"/>
  <c r="AH188" i="5"/>
  <c r="K188" i="5"/>
  <c r="AH187" i="5"/>
  <c r="K187" i="5"/>
  <c r="AH186" i="5"/>
  <c r="K186" i="5"/>
  <c r="AH185" i="5"/>
  <c r="K185" i="5"/>
  <c r="AH184" i="5"/>
  <c r="K184" i="5"/>
  <c r="AH183" i="5"/>
  <c r="K183" i="5"/>
  <c r="AH182" i="5"/>
  <c r="K182" i="5"/>
  <c r="AH181" i="5"/>
  <c r="K181" i="5"/>
  <c r="AH180" i="5"/>
  <c r="K180" i="5"/>
  <c r="AH179" i="5"/>
  <c r="K179" i="5"/>
  <c r="AH178" i="5"/>
  <c r="K178" i="5"/>
  <c r="AH177" i="5"/>
  <c r="K177" i="5"/>
  <c r="AH176" i="5"/>
  <c r="K176" i="5"/>
  <c r="AH175" i="5"/>
  <c r="K175" i="5"/>
  <c r="AH174" i="5"/>
  <c r="K174" i="5"/>
  <c r="AH173" i="5"/>
  <c r="K173" i="5"/>
  <c r="AH172" i="5"/>
  <c r="K172" i="5"/>
  <c r="AH171" i="5"/>
  <c r="K171" i="5"/>
  <c r="AH170" i="5"/>
  <c r="K170" i="5"/>
  <c r="AH169" i="5"/>
  <c r="K169" i="5"/>
  <c r="AH168" i="5"/>
  <c r="K168" i="5"/>
  <c r="AH167" i="5"/>
  <c r="K167" i="5"/>
  <c r="AH166" i="5"/>
  <c r="K166" i="5"/>
  <c r="AH165" i="5"/>
  <c r="K165" i="5"/>
  <c r="AH164" i="5"/>
  <c r="K164" i="5"/>
  <c r="AH163" i="5"/>
  <c r="K163" i="5"/>
  <c r="AH162" i="5"/>
  <c r="K162" i="5"/>
  <c r="AH161" i="5"/>
  <c r="K161" i="5"/>
  <c r="AH160" i="5"/>
  <c r="K160" i="5"/>
  <c r="AH159" i="5"/>
  <c r="K159" i="5"/>
  <c r="AH158" i="5"/>
  <c r="K158" i="5"/>
  <c r="AH157" i="5"/>
  <c r="K157" i="5"/>
  <c r="AH156" i="5"/>
  <c r="K156" i="5"/>
  <c r="AH155" i="5"/>
  <c r="K155" i="5"/>
  <c r="AH154" i="5"/>
  <c r="K154" i="5"/>
  <c r="AH153" i="5"/>
  <c r="K153" i="5"/>
  <c r="AH152" i="5"/>
  <c r="K152" i="5"/>
  <c r="AH151" i="5"/>
  <c r="K151" i="5"/>
  <c r="AH150" i="5"/>
  <c r="K150" i="5"/>
  <c r="AH149" i="5"/>
  <c r="K149" i="5"/>
  <c r="AH148" i="5"/>
  <c r="K148" i="5"/>
  <c r="AH147" i="5"/>
  <c r="K147" i="5"/>
  <c r="AH146" i="5"/>
  <c r="K146" i="5"/>
  <c r="AH145" i="5"/>
  <c r="K145" i="5"/>
  <c r="AH144" i="5"/>
  <c r="K144" i="5"/>
  <c r="AH143" i="5"/>
  <c r="K143" i="5"/>
  <c r="AH142" i="5"/>
  <c r="K142" i="5"/>
  <c r="AH141" i="5"/>
  <c r="K141" i="5"/>
  <c r="AH140" i="5"/>
  <c r="K140" i="5"/>
  <c r="AH139" i="5"/>
  <c r="K139" i="5"/>
  <c r="AH138" i="5"/>
  <c r="K138" i="5"/>
  <c r="AH137" i="5"/>
  <c r="K137" i="5"/>
  <c r="AH136" i="5"/>
  <c r="K136" i="5"/>
  <c r="AH135" i="5"/>
  <c r="K135" i="5"/>
  <c r="AH134" i="5"/>
  <c r="K134" i="5"/>
  <c r="AH133" i="5"/>
  <c r="K133" i="5"/>
  <c r="AH132" i="5"/>
  <c r="K132" i="5"/>
  <c r="AH131" i="5"/>
  <c r="K131" i="5"/>
  <c r="AH130" i="5"/>
  <c r="K130" i="5"/>
  <c r="AH129" i="5"/>
  <c r="K129" i="5"/>
  <c r="AH128" i="5"/>
  <c r="K128" i="5"/>
  <c r="AH127" i="5"/>
  <c r="K127" i="5"/>
  <c r="AH126" i="5"/>
  <c r="K126" i="5"/>
  <c r="AH125" i="5"/>
  <c r="K125" i="5"/>
  <c r="AH124" i="5"/>
  <c r="K124" i="5"/>
  <c r="AH123" i="5"/>
  <c r="K123" i="5"/>
  <c r="AH122" i="5"/>
  <c r="K122" i="5"/>
  <c r="AH121" i="5"/>
  <c r="K121" i="5"/>
  <c r="AH120" i="5"/>
  <c r="K120" i="5"/>
  <c r="AH119" i="5"/>
  <c r="K119" i="5"/>
  <c r="AH118" i="5"/>
  <c r="K118" i="5"/>
  <c r="AH117" i="5"/>
  <c r="K117" i="5"/>
  <c r="AH116" i="5"/>
  <c r="K116" i="5"/>
  <c r="AH115" i="5"/>
  <c r="K115" i="5"/>
  <c r="AH114" i="5"/>
  <c r="K114" i="5"/>
  <c r="AH113" i="5"/>
  <c r="K113" i="5"/>
  <c r="AH112" i="5"/>
  <c r="K112" i="5"/>
  <c r="AH111" i="5"/>
  <c r="K111" i="5"/>
  <c r="AH110" i="5"/>
  <c r="K110" i="5"/>
  <c r="AH109" i="5"/>
  <c r="K109" i="5"/>
  <c r="AH108" i="5"/>
  <c r="K108" i="5"/>
  <c r="AH107" i="5"/>
  <c r="K107" i="5"/>
  <c r="AH106" i="5"/>
  <c r="K106" i="5"/>
  <c r="AH105" i="5"/>
  <c r="K105" i="5"/>
  <c r="AH104" i="5"/>
  <c r="K104" i="5"/>
  <c r="AH103" i="5"/>
  <c r="K103" i="5"/>
  <c r="AH102" i="5"/>
  <c r="K102" i="5"/>
  <c r="AH101" i="5"/>
  <c r="K101" i="5"/>
  <c r="AH100" i="5"/>
  <c r="K100" i="5"/>
  <c r="AH99" i="5"/>
  <c r="K99" i="5"/>
  <c r="AH98" i="5"/>
  <c r="K98" i="5"/>
  <c r="AH97" i="5"/>
  <c r="K97" i="5"/>
  <c r="AH96" i="5"/>
  <c r="K96" i="5"/>
  <c r="AH95" i="5"/>
  <c r="K95" i="5"/>
  <c r="AH94" i="5"/>
  <c r="K94" i="5"/>
  <c r="AH93" i="5"/>
  <c r="K93" i="5"/>
  <c r="AH92" i="5"/>
  <c r="K92" i="5"/>
  <c r="AH91" i="5"/>
  <c r="K91" i="5"/>
  <c r="AH90" i="5"/>
  <c r="K90" i="5"/>
  <c r="AH89" i="5"/>
  <c r="K89" i="5"/>
  <c r="AH88" i="5"/>
  <c r="K88" i="5"/>
  <c r="AH87" i="5"/>
  <c r="K87" i="5"/>
  <c r="AH86" i="5"/>
  <c r="K86" i="5"/>
  <c r="AH85" i="5"/>
  <c r="K85" i="5"/>
  <c r="AH84" i="5"/>
  <c r="K84" i="5"/>
  <c r="AH83" i="5"/>
  <c r="K83" i="5"/>
  <c r="AH82" i="5"/>
  <c r="K82" i="5"/>
  <c r="AH81" i="5"/>
  <c r="K81" i="5"/>
  <c r="AH80" i="5"/>
  <c r="K80" i="5"/>
  <c r="AH79" i="5"/>
  <c r="K79" i="5"/>
  <c r="AH78" i="5"/>
  <c r="K78" i="5"/>
  <c r="AH77" i="5"/>
  <c r="K77" i="5"/>
  <c r="AH76" i="5"/>
  <c r="K76" i="5"/>
  <c r="AH75" i="5"/>
  <c r="K75" i="5"/>
  <c r="AH74" i="5"/>
  <c r="K74" i="5"/>
  <c r="AH73" i="5"/>
  <c r="K73" i="5"/>
  <c r="AH72" i="5"/>
  <c r="K72" i="5"/>
  <c r="AH71" i="5"/>
  <c r="K71" i="5"/>
  <c r="AH70" i="5"/>
  <c r="K70" i="5"/>
  <c r="AH69" i="5"/>
  <c r="K69" i="5"/>
  <c r="AH68" i="5"/>
  <c r="K68" i="5"/>
  <c r="AH67" i="5"/>
  <c r="K67" i="5"/>
  <c r="AH66" i="5"/>
  <c r="K66" i="5"/>
  <c r="AH65" i="5"/>
  <c r="K65" i="5"/>
  <c r="AH64" i="5"/>
  <c r="K64" i="5"/>
  <c r="AH63" i="5"/>
  <c r="K63" i="5"/>
  <c r="AH62" i="5"/>
  <c r="K62" i="5"/>
  <c r="AH61" i="5"/>
  <c r="K61" i="5"/>
  <c r="AH60" i="5"/>
  <c r="K60" i="5"/>
  <c r="AH59" i="5"/>
  <c r="K59" i="5"/>
  <c r="AH58" i="5"/>
  <c r="K58" i="5"/>
  <c r="AH57" i="5"/>
  <c r="K57" i="5"/>
  <c r="AH56" i="5"/>
  <c r="K56" i="5"/>
  <c r="AH55" i="5"/>
  <c r="K55" i="5"/>
  <c r="AH54" i="5"/>
  <c r="K54" i="5"/>
  <c r="AH53" i="5"/>
  <c r="K53" i="5"/>
  <c r="AH52" i="5"/>
  <c r="K52" i="5"/>
  <c r="AH51" i="5"/>
  <c r="K51" i="5"/>
  <c r="AH50" i="5"/>
  <c r="K50" i="5"/>
  <c r="AH49" i="5"/>
  <c r="K49" i="5"/>
  <c r="AH48" i="5"/>
  <c r="K48" i="5"/>
  <c r="AH47" i="5"/>
  <c r="K47" i="5"/>
  <c r="AH46" i="5"/>
  <c r="K46" i="5"/>
  <c r="AH45" i="5"/>
  <c r="K45" i="5"/>
  <c r="AH44" i="5"/>
  <c r="K44" i="5"/>
  <c r="AH43" i="5"/>
  <c r="K43" i="5"/>
  <c r="AH42" i="5"/>
  <c r="K42" i="5"/>
  <c r="AH41" i="5"/>
  <c r="K41" i="5"/>
  <c r="AH40" i="5"/>
  <c r="K40" i="5"/>
  <c r="AH39" i="5"/>
  <c r="K39" i="5"/>
  <c r="AH38" i="5"/>
  <c r="K38" i="5"/>
  <c r="AH37" i="5"/>
  <c r="K37" i="5"/>
  <c r="AH36" i="5"/>
  <c r="K36" i="5"/>
  <c r="AH35" i="5"/>
  <c r="K35" i="5"/>
  <c r="AH34" i="5"/>
  <c r="K34" i="5"/>
  <c r="AH33" i="5"/>
  <c r="K33" i="5"/>
  <c r="AH32" i="5"/>
  <c r="K32" i="5"/>
  <c r="AH31" i="5"/>
  <c r="K31" i="5"/>
  <c r="AH30" i="5"/>
  <c r="K30" i="5"/>
  <c r="AH29" i="5"/>
  <c r="K29" i="5"/>
  <c r="AH28" i="5"/>
  <c r="K28" i="5"/>
  <c r="AH27" i="5"/>
  <c r="K27" i="5"/>
  <c r="AH26" i="5"/>
  <c r="K26" i="5"/>
  <c r="AH25" i="5"/>
  <c r="K25" i="5"/>
  <c r="AH24" i="5"/>
  <c r="K24" i="5"/>
  <c r="AH23" i="5"/>
  <c r="K23" i="5"/>
  <c r="AH22" i="5"/>
  <c r="K22" i="5"/>
  <c r="AH21" i="5"/>
  <c r="K21" i="5"/>
  <c r="AH20" i="5"/>
  <c r="K20" i="5"/>
  <c r="AH19" i="5"/>
  <c r="K19" i="5"/>
  <c r="AH18" i="5"/>
  <c r="K18" i="5"/>
  <c r="AH17" i="5"/>
  <c r="K17" i="5"/>
  <c r="AH16" i="5"/>
  <c r="K16" i="5"/>
  <c r="AH15" i="5"/>
  <c r="K15" i="5"/>
  <c r="AH14" i="5"/>
  <c r="K14" i="5"/>
  <c r="AH13" i="5"/>
  <c r="K13" i="5"/>
  <c r="AH12" i="5"/>
  <c r="D7" i="5" s="1"/>
  <c r="K12" i="5"/>
  <c r="AH11" i="5"/>
  <c r="K11" i="5"/>
  <c r="E6" i="5" s="1"/>
  <c r="E9" i="5"/>
  <c r="E8" i="5"/>
  <c r="E7" i="5"/>
  <c r="R2751" i="4"/>
  <c r="K2751" i="4"/>
  <c r="R2750" i="4"/>
  <c r="K2750" i="4"/>
  <c r="R2749" i="4"/>
  <c r="K2749" i="4"/>
  <c r="R2748" i="4"/>
  <c r="K2748" i="4"/>
  <c r="R2747" i="4"/>
  <c r="K2747" i="4"/>
  <c r="R2746" i="4"/>
  <c r="K2746" i="4"/>
  <c r="R2745" i="4"/>
  <c r="K2745" i="4"/>
  <c r="R2744" i="4"/>
  <c r="K2744" i="4"/>
  <c r="R2739" i="4"/>
  <c r="K2739" i="4"/>
  <c r="R2738" i="4"/>
  <c r="K2738" i="4"/>
  <c r="R2737" i="4"/>
  <c r="K2737" i="4"/>
  <c r="R2736" i="4"/>
  <c r="K2736" i="4"/>
  <c r="R2735" i="4"/>
  <c r="K2735" i="4"/>
  <c r="R2734" i="4"/>
  <c r="K2734" i="4"/>
  <c r="R2733" i="4"/>
  <c r="K2733" i="4"/>
  <c r="R2732" i="4"/>
  <c r="K2732" i="4"/>
  <c r="R2731" i="4"/>
  <c r="K2731" i="4"/>
  <c r="R2730" i="4"/>
  <c r="K2730" i="4"/>
  <c r="R2729" i="4"/>
  <c r="K2729" i="4"/>
  <c r="R2728" i="4"/>
  <c r="K2728" i="4"/>
  <c r="R2727" i="4"/>
  <c r="K2727" i="4"/>
  <c r="R2726" i="4"/>
  <c r="K2726" i="4"/>
  <c r="R2725" i="4"/>
  <c r="K2725" i="4"/>
  <c r="R2724" i="4"/>
  <c r="K2724" i="4"/>
  <c r="R2723" i="4"/>
  <c r="K2723" i="4"/>
  <c r="R2722" i="4"/>
  <c r="K2722" i="4"/>
  <c r="R2721" i="4"/>
  <c r="K2721" i="4"/>
  <c r="R2720" i="4"/>
  <c r="K2720" i="4"/>
  <c r="R2719" i="4"/>
  <c r="K2719" i="4"/>
  <c r="R2718" i="4"/>
  <c r="K2718" i="4"/>
  <c r="R2717" i="4"/>
  <c r="K2717" i="4"/>
  <c r="R2716" i="4"/>
  <c r="K2716" i="4"/>
  <c r="R2715" i="4"/>
  <c r="K2715" i="4"/>
  <c r="R2714" i="4"/>
  <c r="K2714" i="4"/>
  <c r="R2711" i="4"/>
  <c r="K2711" i="4"/>
  <c r="R2710" i="4"/>
  <c r="K2710" i="4"/>
  <c r="R2713" i="4"/>
  <c r="K2713" i="4"/>
  <c r="R2712" i="4"/>
  <c r="K2712" i="4"/>
  <c r="R2709" i="4"/>
  <c r="K2709" i="4"/>
  <c r="R2708" i="4"/>
  <c r="K2708" i="4"/>
  <c r="R2707" i="4"/>
  <c r="K2707" i="4"/>
  <c r="R2706" i="4"/>
  <c r="K2706" i="4"/>
  <c r="R2705" i="4"/>
  <c r="K2705" i="4"/>
  <c r="R2704" i="4"/>
  <c r="K2704" i="4"/>
  <c r="R2703" i="4"/>
  <c r="K2703" i="4"/>
  <c r="R2702" i="4"/>
  <c r="K2702" i="4"/>
  <c r="R2701" i="4"/>
  <c r="K2701" i="4"/>
  <c r="R2700" i="4"/>
  <c r="K2700" i="4"/>
  <c r="R2699" i="4"/>
  <c r="K2699" i="4"/>
  <c r="R2698" i="4"/>
  <c r="K2698" i="4"/>
  <c r="R2696" i="4"/>
  <c r="K2696" i="4"/>
  <c r="R2695" i="4"/>
  <c r="K2695" i="4"/>
  <c r="R2694" i="4"/>
  <c r="K2694" i="4"/>
  <c r="R2693" i="4"/>
  <c r="K2693" i="4"/>
  <c r="R2697" i="4"/>
  <c r="K2697" i="4"/>
  <c r="R2691" i="4"/>
  <c r="K2691" i="4"/>
  <c r="R2690" i="4"/>
  <c r="K2690" i="4"/>
  <c r="R2689" i="4"/>
  <c r="K2689" i="4"/>
  <c r="R2688" i="4"/>
  <c r="K2688" i="4"/>
  <c r="R2692" i="4"/>
  <c r="K2692" i="4"/>
  <c r="R2687" i="4"/>
  <c r="K2687" i="4"/>
  <c r="R2686" i="4"/>
  <c r="K2686" i="4"/>
  <c r="R2685" i="4"/>
  <c r="K2685" i="4"/>
  <c r="R2684" i="4"/>
  <c r="K2684" i="4"/>
  <c r="R2683" i="4"/>
  <c r="K2683" i="4"/>
  <c r="R2677" i="4"/>
  <c r="K2677" i="4"/>
  <c r="R2676" i="4"/>
  <c r="K2676" i="4"/>
  <c r="R2675" i="4"/>
  <c r="K2675" i="4"/>
  <c r="R2674" i="4"/>
  <c r="K2674" i="4"/>
  <c r="R2673" i="4"/>
  <c r="K2673" i="4"/>
  <c r="R2672" i="4"/>
  <c r="K2672" i="4"/>
  <c r="R2671" i="4"/>
  <c r="K2671" i="4"/>
  <c r="R2670" i="4"/>
  <c r="K2670" i="4"/>
  <c r="R2669" i="4"/>
  <c r="K2669" i="4"/>
  <c r="R2668" i="4"/>
  <c r="K2668" i="4"/>
  <c r="R2667" i="4"/>
  <c r="K2667" i="4"/>
  <c r="R2666" i="4"/>
  <c r="K2666" i="4"/>
  <c r="R2665" i="4"/>
  <c r="K2665" i="4"/>
  <c r="R2664" i="4"/>
  <c r="K2664" i="4"/>
  <c r="R2663" i="4"/>
  <c r="K2663" i="4"/>
  <c r="R2662" i="4"/>
  <c r="K2662" i="4"/>
  <c r="R2661" i="4"/>
  <c r="K2661" i="4"/>
  <c r="R2660" i="4"/>
  <c r="K2660" i="4"/>
  <c r="R2659" i="4"/>
  <c r="K2659" i="4"/>
  <c r="R2658" i="4"/>
  <c r="K2658" i="4"/>
  <c r="R2657" i="4"/>
  <c r="K2657" i="4"/>
  <c r="R2656" i="4"/>
  <c r="K2656" i="4"/>
  <c r="R2655" i="4"/>
  <c r="K2655" i="4"/>
  <c r="R2654" i="4"/>
  <c r="K2654" i="4"/>
  <c r="R2653" i="4"/>
  <c r="K2653" i="4"/>
  <c r="R2652" i="4"/>
  <c r="K2652" i="4"/>
  <c r="R2651" i="4"/>
  <c r="K2651" i="4"/>
  <c r="R2650" i="4"/>
  <c r="K2650" i="4"/>
  <c r="R2649" i="4"/>
  <c r="K2649" i="4"/>
  <c r="R2648" i="4"/>
  <c r="K2648" i="4"/>
  <c r="R2647" i="4"/>
  <c r="K2647" i="4"/>
  <c r="R2646" i="4"/>
  <c r="K2646" i="4"/>
  <c r="R2645" i="4"/>
  <c r="K2645" i="4"/>
  <c r="R2644" i="4"/>
  <c r="K2644" i="4"/>
  <c r="R2641" i="4"/>
  <c r="K2641" i="4"/>
  <c r="R2640" i="4"/>
  <c r="K2640" i="4"/>
  <c r="R2639" i="4"/>
  <c r="K2639" i="4"/>
  <c r="R2638" i="4"/>
  <c r="K2638" i="4"/>
  <c r="R2637" i="4"/>
  <c r="K2637" i="4"/>
  <c r="R2636" i="4"/>
  <c r="K2636" i="4"/>
  <c r="R2635" i="4"/>
  <c r="K2635" i="4"/>
  <c r="R2634" i="4"/>
  <c r="K2634" i="4"/>
  <c r="R2633" i="4"/>
  <c r="K2633" i="4"/>
  <c r="R2632" i="4"/>
  <c r="K2632" i="4"/>
  <c r="R2631" i="4"/>
  <c r="K2631" i="4"/>
  <c r="R2630" i="4"/>
  <c r="K2630" i="4"/>
  <c r="R2629" i="4"/>
  <c r="K2629" i="4"/>
  <c r="R2628" i="4"/>
  <c r="K2628" i="4"/>
  <c r="R2627" i="4"/>
  <c r="K2627" i="4"/>
  <c r="R2626" i="4"/>
  <c r="K2626" i="4"/>
  <c r="R2625" i="4"/>
  <c r="K2625" i="4"/>
  <c r="R2619" i="4"/>
  <c r="K2619" i="4"/>
  <c r="R2618" i="4"/>
  <c r="K2618" i="4"/>
  <c r="R2617" i="4"/>
  <c r="K2617" i="4"/>
  <c r="R2616" i="4"/>
  <c r="K2616" i="4"/>
  <c r="R2615" i="4"/>
  <c r="K2615" i="4"/>
  <c r="R2614" i="4"/>
  <c r="K2614" i="4"/>
  <c r="R2613" i="4"/>
  <c r="K2613" i="4"/>
  <c r="R2612" i="4"/>
  <c r="K2612" i="4"/>
  <c r="R2611" i="4"/>
  <c r="K2611" i="4"/>
  <c r="R2610" i="4"/>
  <c r="K2610" i="4"/>
  <c r="R2609" i="4"/>
  <c r="K2609" i="4"/>
  <c r="R2608" i="4"/>
  <c r="K2608" i="4"/>
  <c r="R2607" i="4"/>
  <c r="K2607" i="4"/>
  <c r="R2606" i="4"/>
  <c r="K2606" i="4"/>
  <c r="R2605" i="4"/>
  <c r="K2605" i="4"/>
  <c r="R2604" i="4"/>
  <c r="K2604" i="4"/>
  <c r="R2603" i="4"/>
  <c r="K2603" i="4"/>
  <c r="R2597" i="4"/>
  <c r="K2597" i="4"/>
  <c r="R2596" i="4"/>
  <c r="K2596" i="4"/>
  <c r="R2595" i="4"/>
  <c r="K2595" i="4"/>
  <c r="R2594" i="4"/>
  <c r="K2594" i="4"/>
  <c r="R2593" i="4"/>
  <c r="K2593" i="4"/>
  <c r="R2590" i="4"/>
  <c r="K2590" i="4"/>
  <c r="R2589" i="4"/>
  <c r="K2589" i="4"/>
  <c r="R2588" i="4"/>
  <c r="K2588" i="4"/>
  <c r="R2587" i="4"/>
  <c r="K2587" i="4"/>
  <c r="R2586" i="4"/>
  <c r="K2586" i="4"/>
  <c r="R2585" i="4"/>
  <c r="K2585" i="4"/>
  <c r="R2584" i="4"/>
  <c r="K2584" i="4"/>
  <c r="R2580" i="4"/>
  <c r="K2580" i="4"/>
  <c r="R2579" i="4"/>
  <c r="K2579" i="4"/>
  <c r="R2578" i="4"/>
  <c r="K2578" i="4"/>
  <c r="R2583" i="4"/>
  <c r="K2583" i="4"/>
  <c r="R2582" i="4"/>
  <c r="K2582" i="4"/>
  <c r="R2581" i="4"/>
  <c r="K2581" i="4"/>
  <c r="R2577" i="4"/>
  <c r="K2577" i="4"/>
  <c r="R2576" i="4"/>
  <c r="K2576" i="4"/>
  <c r="R2575" i="4"/>
  <c r="K2575" i="4"/>
  <c r="R2574" i="4"/>
  <c r="K2574" i="4"/>
  <c r="R2573" i="4"/>
  <c r="K2573" i="4"/>
  <c r="R2568" i="4"/>
  <c r="K2568" i="4"/>
  <c r="R2567" i="4"/>
  <c r="K2567" i="4"/>
  <c r="R2566" i="4"/>
  <c r="K2566" i="4"/>
  <c r="R2565" i="4"/>
  <c r="K2565" i="4"/>
  <c r="R2564" i="4"/>
  <c r="K2564" i="4"/>
  <c r="R2563" i="4"/>
  <c r="K2563" i="4"/>
  <c r="R2562" i="4"/>
  <c r="K2562" i="4"/>
  <c r="R2561" i="4"/>
  <c r="K2561" i="4"/>
  <c r="R2560" i="4"/>
  <c r="K2560" i="4"/>
  <c r="R2559" i="4"/>
  <c r="K2559" i="4"/>
  <c r="R2554" i="4"/>
  <c r="K2554" i="4"/>
  <c r="R2553" i="4"/>
  <c r="K2553" i="4"/>
  <c r="R2552" i="4"/>
  <c r="R2551" i="4"/>
  <c r="K2551" i="4"/>
  <c r="R2550" i="4"/>
  <c r="K2550" i="4"/>
  <c r="R2549" i="4"/>
  <c r="K2549" i="4"/>
  <c r="R2548" i="4"/>
  <c r="K2548" i="4"/>
  <c r="R2547" i="4"/>
  <c r="K2547" i="4"/>
  <c r="R26" i="4"/>
  <c r="K26" i="4"/>
  <c r="R25" i="4"/>
  <c r="K25" i="4"/>
  <c r="R24" i="4"/>
  <c r="K24" i="4"/>
  <c r="R167" i="4"/>
  <c r="K167" i="4"/>
  <c r="R166" i="4"/>
  <c r="K166" i="4"/>
  <c r="R165" i="4"/>
  <c r="K165" i="4"/>
  <c r="R164" i="4"/>
  <c r="K164" i="4"/>
  <c r="R136" i="4"/>
  <c r="K136" i="4"/>
  <c r="R135" i="4"/>
  <c r="K135" i="4"/>
  <c r="R134" i="4"/>
  <c r="K134" i="4"/>
  <c r="R133" i="4"/>
  <c r="K133" i="4"/>
  <c r="R132" i="4"/>
  <c r="K132" i="4"/>
  <c r="R131" i="4"/>
  <c r="K131" i="4"/>
  <c r="R127" i="4"/>
  <c r="K127" i="4"/>
  <c r="R126" i="4"/>
  <c r="K126" i="4"/>
  <c r="R125" i="4"/>
  <c r="K125" i="4"/>
  <c r="R124" i="4"/>
  <c r="K124" i="4"/>
  <c r="R123" i="4"/>
  <c r="K123" i="4"/>
  <c r="R122" i="4"/>
  <c r="K122" i="4"/>
  <c r="R18" i="4"/>
  <c r="K18" i="4"/>
  <c r="R17" i="4"/>
  <c r="K17" i="4"/>
  <c r="R16" i="4"/>
  <c r="K16" i="4"/>
  <c r="R1956" i="4"/>
  <c r="K1956" i="4"/>
  <c r="R1955" i="4"/>
  <c r="K1955" i="4"/>
  <c r="R1954" i="4"/>
  <c r="K1954" i="4"/>
  <c r="R1953" i="4"/>
  <c r="K1953" i="4"/>
  <c r="R1952" i="4"/>
  <c r="K1952" i="4"/>
  <c r="R1951" i="4"/>
  <c r="K1951" i="4"/>
  <c r="R1950" i="4"/>
  <c r="K1950" i="4"/>
  <c r="R1437" i="4"/>
  <c r="K1437" i="4"/>
  <c r="R1436" i="4"/>
  <c r="K1436" i="4"/>
  <c r="R1435" i="4"/>
  <c r="K1435" i="4"/>
  <c r="R1434" i="4"/>
  <c r="K1434" i="4"/>
  <c r="R1433" i="4"/>
  <c r="K1433" i="4"/>
  <c r="R1432" i="4"/>
  <c r="K1432" i="4"/>
  <c r="R949" i="4"/>
  <c r="K949" i="4"/>
  <c r="R948" i="4"/>
  <c r="K948" i="4"/>
  <c r="R947" i="4"/>
  <c r="K947" i="4"/>
  <c r="R1918" i="4"/>
  <c r="K1918" i="4"/>
  <c r="R1917" i="4"/>
  <c r="K1917" i="4"/>
  <c r="R1916" i="4"/>
  <c r="K1916" i="4"/>
  <c r="R1915" i="4"/>
  <c r="K1915" i="4"/>
  <c r="R1914" i="4"/>
  <c r="K1914" i="4"/>
  <c r="R1913" i="4"/>
  <c r="K1913" i="4"/>
  <c r="R1253" i="4"/>
  <c r="K1253" i="4"/>
  <c r="R995" i="4"/>
  <c r="K995" i="4"/>
  <c r="R994" i="4"/>
  <c r="K994" i="4"/>
  <c r="R993" i="4"/>
  <c r="K993" i="4"/>
  <c r="R992" i="4"/>
  <c r="K992" i="4"/>
  <c r="R991" i="4"/>
  <c r="K991" i="4"/>
  <c r="R990" i="4"/>
  <c r="K990" i="4"/>
  <c r="R989" i="4"/>
  <c r="K989" i="4"/>
  <c r="R983" i="4"/>
  <c r="K983" i="4"/>
  <c r="R982" i="4"/>
  <c r="K982" i="4"/>
  <c r="R981" i="4"/>
  <c r="K981" i="4"/>
  <c r="R980" i="4"/>
  <c r="K980" i="4"/>
  <c r="R1870" i="4"/>
  <c r="K1870" i="4"/>
  <c r="R1869" i="4"/>
  <c r="K1869" i="4"/>
  <c r="R1868" i="4"/>
  <c r="K1868" i="4"/>
  <c r="R1867" i="4"/>
  <c r="K1867" i="4"/>
  <c r="R1866" i="4"/>
  <c r="K1866" i="4"/>
  <c r="R1865" i="4"/>
  <c r="K1865" i="4"/>
  <c r="R1864" i="4"/>
  <c r="K1864" i="4"/>
  <c r="R1863" i="4"/>
  <c r="K1863" i="4"/>
  <c r="R1862" i="4"/>
  <c r="K1862" i="4"/>
  <c r="R1861" i="4"/>
  <c r="K1861" i="4"/>
  <c r="R1860" i="4"/>
  <c r="K1860" i="4"/>
  <c r="R1859" i="4"/>
  <c r="K1859" i="4"/>
  <c r="R1858" i="4"/>
  <c r="K1858" i="4"/>
  <c r="R1857" i="4"/>
  <c r="K1857" i="4"/>
  <c r="R1856" i="4"/>
  <c r="K1856" i="4"/>
  <c r="R1855" i="4"/>
  <c r="K1855" i="4"/>
  <c r="R1854" i="4"/>
  <c r="K1854" i="4"/>
  <c r="R1853" i="4"/>
  <c r="K1853" i="4"/>
  <c r="R1852" i="4"/>
  <c r="K1852" i="4"/>
  <c r="R1851" i="4"/>
  <c r="K1851" i="4"/>
  <c r="R1850" i="4"/>
  <c r="K1850" i="4"/>
  <c r="R1849" i="4"/>
  <c r="K1849" i="4"/>
  <c r="R1848" i="4"/>
  <c r="K1848" i="4"/>
  <c r="R1847" i="4"/>
  <c r="K1847" i="4"/>
  <c r="R1846" i="4"/>
  <c r="K1846" i="4"/>
  <c r="R1845" i="4"/>
  <c r="K1845" i="4"/>
  <c r="R1844" i="4"/>
  <c r="K1844" i="4"/>
  <c r="R1843" i="4"/>
  <c r="K1843" i="4"/>
  <c r="R1842" i="4"/>
  <c r="K1842" i="4"/>
  <c r="R1841" i="4"/>
  <c r="K1841" i="4"/>
  <c r="R1840" i="4"/>
  <c r="K1840" i="4"/>
  <c r="R1839" i="4"/>
  <c r="K1839" i="4"/>
  <c r="R1838" i="4"/>
  <c r="K1838" i="4"/>
  <c r="R1837" i="4"/>
  <c r="K1837" i="4"/>
  <c r="R1836" i="4"/>
  <c r="K1836" i="4"/>
  <c r="R1835" i="4"/>
  <c r="K1835" i="4"/>
  <c r="R1834" i="4"/>
  <c r="K1834" i="4"/>
  <c r="R1833" i="4"/>
  <c r="K1833" i="4"/>
  <c r="R1832" i="4"/>
  <c r="K1832" i="4"/>
  <c r="R1831" i="4"/>
  <c r="K1831" i="4"/>
  <c r="R1830" i="4"/>
  <c r="K1830" i="4"/>
  <c r="R1829" i="4"/>
  <c r="K1829" i="4"/>
  <c r="R1828" i="4"/>
  <c r="K1828" i="4"/>
  <c r="R1827" i="4"/>
  <c r="K1827" i="4"/>
  <c r="R1826" i="4"/>
  <c r="K1826" i="4"/>
  <c r="R1825" i="4"/>
  <c r="K1825" i="4"/>
  <c r="R1824" i="4"/>
  <c r="K1824" i="4"/>
  <c r="R1823" i="4"/>
  <c r="K1823" i="4"/>
  <c r="R1822" i="4"/>
  <c r="K1822" i="4"/>
  <c r="R1821" i="4"/>
  <c r="K1821" i="4"/>
  <c r="R1820" i="4"/>
  <c r="K1820" i="4"/>
  <c r="R1819" i="4"/>
  <c r="K1819" i="4"/>
  <c r="R1818" i="4"/>
  <c r="K1818" i="4"/>
  <c r="R1817" i="4"/>
  <c r="K1817" i="4"/>
  <c r="R1816" i="4"/>
  <c r="K1816" i="4"/>
  <c r="R1815" i="4"/>
  <c r="K1815" i="4"/>
  <c r="R1814" i="4"/>
  <c r="K1814" i="4"/>
  <c r="R1813" i="4"/>
  <c r="K1813" i="4"/>
  <c r="R1812" i="4"/>
  <c r="K1812" i="4"/>
  <c r="R1811" i="4"/>
  <c r="K1811" i="4"/>
  <c r="R1810" i="4"/>
  <c r="K1810" i="4"/>
  <c r="R1809" i="4"/>
  <c r="K1809" i="4"/>
  <c r="R1808" i="4"/>
  <c r="K1808" i="4"/>
  <c r="R1807" i="4"/>
  <c r="K1807" i="4"/>
  <c r="R1806" i="4"/>
  <c r="K1806" i="4"/>
  <c r="R1805" i="4"/>
  <c r="K1805" i="4"/>
  <c r="R1804" i="4"/>
  <c r="K1804" i="4"/>
  <c r="R1803" i="4"/>
  <c r="K1803" i="4"/>
  <c r="R1802" i="4"/>
  <c r="K1802" i="4"/>
  <c r="R1801" i="4"/>
  <c r="K1801" i="4"/>
  <c r="R1800" i="4"/>
  <c r="K1800" i="4"/>
  <c r="R1799" i="4"/>
  <c r="K1799" i="4"/>
  <c r="R1798" i="4"/>
  <c r="K1798" i="4"/>
  <c r="R1797" i="4"/>
  <c r="K1797" i="4"/>
  <c r="R1796" i="4"/>
  <c r="K1796" i="4"/>
  <c r="R1795" i="4"/>
  <c r="K1795" i="4"/>
  <c r="R1794" i="4"/>
  <c r="K1794" i="4"/>
  <c r="R1793" i="4"/>
  <c r="K1793" i="4"/>
  <c r="R1792" i="4"/>
  <c r="K1792" i="4"/>
  <c r="R1791" i="4"/>
  <c r="K1791" i="4"/>
  <c r="R1790" i="4"/>
  <c r="K1790" i="4"/>
  <c r="R1789" i="4"/>
  <c r="K1789" i="4"/>
  <c r="R1788" i="4"/>
  <c r="K1788" i="4"/>
  <c r="R1787" i="4"/>
  <c r="K1787" i="4"/>
  <c r="R1786" i="4"/>
  <c r="K1786" i="4"/>
  <c r="R1785" i="4"/>
  <c r="K1785" i="4"/>
  <c r="R1784" i="4"/>
  <c r="K1784" i="4"/>
  <c r="R1783" i="4"/>
  <c r="K1783" i="4"/>
  <c r="R1782" i="4"/>
  <c r="K1782" i="4"/>
  <c r="R1781" i="4"/>
  <c r="K1781" i="4"/>
  <c r="R1780" i="4"/>
  <c r="K1780" i="4"/>
  <c r="R1779" i="4"/>
  <c r="K1779" i="4"/>
  <c r="R1778" i="4"/>
  <c r="K1778" i="4"/>
  <c r="R1777" i="4"/>
  <c r="K1777" i="4"/>
  <c r="R1776" i="4"/>
  <c r="K1776" i="4"/>
  <c r="R1775" i="4"/>
  <c r="K1775" i="4"/>
  <c r="R1774" i="4"/>
  <c r="K1774" i="4"/>
  <c r="R1773" i="4"/>
  <c r="K1773" i="4"/>
  <c r="R1772" i="4"/>
  <c r="K1772" i="4"/>
  <c r="R1637" i="4"/>
  <c r="K1637" i="4"/>
  <c r="R1636" i="4"/>
  <c r="K1636" i="4"/>
  <c r="R1635" i="4"/>
  <c r="K1635" i="4"/>
  <c r="R1634" i="4"/>
  <c r="K1634" i="4"/>
  <c r="R1633" i="4"/>
  <c r="K1633" i="4"/>
  <c r="R1632" i="4"/>
  <c r="K1632" i="4"/>
  <c r="R1631" i="4"/>
  <c r="K1631" i="4"/>
  <c r="R1403" i="4"/>
  <c r="K1403" i="4"/>
  <c r="R1402" i="4"/>
  <c r="K1402" i="4"/>
  <c r="R1401" i="4"/>
  <c r="K1401" i="4"/>
  <c r="R1400" i="4"/>
  <c r="K1400" i="4"/>
  <c r="R1399" i="4"/>
  <c r="K1399" i="4"/>
  <c r="R1398" i="4"/>
  <c r="K1398" i="4"/>
  <c r="R1397" i="4"/>
  <c r="K1397" i="4"/>
  <c r="R1986" i="4"/>
  <c r="K1986" i="4"/>
  <c r="R1175" i="4"/>
  <c r="K1175" i="4"/>
  <c r="R907" i="4"/>
  <c r="K907" i="4"/>
  <c r="R906" i="4"/>
  <c r="K906" i="4"/>
  <c r="R905" i="4"/>
  <c r="K905" i="4"/>
  <c r="R910" i="4"/>
  <c r="K910" i="4"/>
  <c r="R909" i="4"/>
  <c r="K909" i="4"/>
  <c r="R908" i="4"/>
  <c r="K908" i="4"/>
  <c r="R869" i="4"/>
  <c r="K869" i="4"/>
  <c r="R868" i="4"/>
  <c r="K868" i="4"/>
  <c r="R867" i="4"/>
  <c r="K867" i="4"/>
  <c r="R866" i="4"/>
  <c r="K866" i="4"/>
  <c r="R1979" i="4"/>
  <c r="K1979" i="4"/>
  <c r="R1978" i="4"/>
  <c r="K1978" i="4"/>
  <c r="R2233" i="4"/>
  <c r="K2233" i="4"/>
  <c r="R2232" i="4"/>
  <c r="K2232" i="4"/>
  <c r="R2231" i="4"/>
  <c r="K2231" i="4"/>
  <c r="R2230" i="4"/>
  <c r="K2230" i="4"/>
  <c r="R2229" i="4"/>
  <c r="K2229" i="4"/>
  <c r="R2237" i="4"/>
  <c r="K2237" i="4"/>
  <c r="R2236" i="4"/>
  <c r="K2236" i="4"/>
  <c r="R2235" i="4"/>
  <c r="K2235" i="4"/>
  <c r="R2234" i="4"/>
  <c r="K2234" i="4"/>
  <c r="R2063" i="4"/>
  <c r="K2063" i="4"/>
  <c r="R2062" i="4"/>
  <c r="K2062" i="4"/>
  <c r="R2061" i="4"/>
  <c r="K2061" i="4"/>
  <c r="R2060" i="4"/>
  <c r="K2060" i="4"/>
  <c r="R2059" i="4"/>
  <c r="K2059" i="4"/>
  <c r="R2001" i="4"/>
  <c r="K2001" i="4"/>
  <c r="R2000" i="4"/>
  <c r="K2000" i="4"/>
  <c r="R1999" i="4"/>
  <c r="K1999" i="4"/>
  <c r="R1998" i="4"/>
  <c r="K1998" i="4"/>
  <c r="R1997" i="4"/>
  <c r="K1997" i="4"/>
  <c r="R1977" i="4"/>
  <c r="K1977" i="4"/>
  <c r="R1687" i="4"/>
  <c r="K1687" i="4"/>
  <c r="R1405" i="4"/>
  <c r="K1405" i="4"/>
  <c r="R1404" i="4"/>
  <c r="K1404" i="4"/>
  <c r="R1179" i="4"/>
  <c r="K1179" i="4"/>
  <c r="R1178" i="4"/>
  <c r="K1178" i="4"/>
  <c r="R1177" i="4"/>
  <c r="K1177" i="4"/>
  <c r="R1176" i="4"/>
  <c r="K1176" i="4"/>
  <c r="R688" i="4"/>
  <c r="K688" i="4"/>
  <c r="R687" i="4"/>
  <c r="K687" i="4"/>
  <c r="R686" i="4"/>
  <c r="K686" i="4"/>
  <c r="R685" i="4"/>
  <c r="K685" i="4"/>
  <c r="R684" i="4"/>
  <c r="K684" i="4"/>
  <c r="R15" i="4"/>
  <c r="K15" i="4"/>
  <c r="R14" i="4"/>
  <c r="K14" i="4"/>
  <c r="R13" i="4"/>
  <c r="K13" i="4"/>
  <c r="R12" i="4"/>
  <c r="K12" i="4"/>
  <c r="R11" i="4"/>
  <c r="K11" i="4"/>
  <c r="R2540" i="4"/>
  <c r="K2540" i="4"/>
  <c r="R2486" i="4"/>
  <c r="K2486" i="4"/>
  <c r="R2485" i="4"/>
  <c r="K2485" i="4"/>
  <c r="R2484" i="4"/>
  <c r="K2484" i="4"/>
  <c r="R2483" i="4"/>
  <c r="K2483" i="4"/>
  <c r="R2482" i="4"/>
  <c r="K2482" i="4"/>
  <c r="R2474" i="4"/>
  <c r="K2474" i="4"/>
  <c r="R2473" i="4"/>
  <c r="K2473" i="4"/>
  <c r="R2472" i="4"/>
  <c r="K2472" i="4"/>
  <c r="R2471" i="4"/>
  <c r="K2471" i="4"/>
  <c r="R2470" i="4"/>
  <c r="K2470" i="4"/>
  <c r="R2469" i="4"/>
  <c r="K2469" i="4"/>
  <c r="R2468" i="4"/>
  <c r="K2468" i="4"/>
  <c r="R2467" i="4"/>
  <c r="K2467" i="4"/>
  <c r="R2466" i="4"/>
  <c r="K2466" i="4"/>
  <c r="R2465" i="4"/>
  <c r="K2465" i="4"/>
  <c r="R2464" i="4"/>
  <c r="K2464" i="4"/>
  <c r="R2463" i="4"/>
  <c r="K2463" i="4"/>
  <c r="R2462" i="4"/>
  <c r="K2462" i="4"/>
  <c r="R2461" i="4"/>
  <c r="K2461" i="4"/>
  <c r="R2460" i="4"/>
  <c r="K2460" i="4"/>
  <c r="R2459" i="4"/>
  <c r="K2459" i="4"/>
  <c r="R2458" i="4"/>
  <c r="K2458" i="4"/>
  <c r="R2457" i="4"/>
  <c r="K2457" i="4"/>
  <c r="R2456" i="4"/>
  <c r="K2456" i="4"/>
  <c r="R2455" i="4"/>
  <c r="K2455" i="4"/>
  <c r="R2432" i="4"/>
  <c r="K2432" i="4"/>
  <c r="R2431" i="4"/>
  <c r="K2431" i="4"/>
  <c r="R2430" i="4"/>
  <c r="K2430" i="4"/>
  <c r="R2429" i="4"/>
  <c r="K2429" i="4"/>
  <c r="R2428" i="4"/>
  <c r="K2428" i="4"/>
  <c r="R2427" i="4"/>
  <c r="K2427" i="4"/>
  <c r="R2426" i="4"/>
  <c r="K2426" i="4"/>
  <c r="R2425" i="4"/>
  <c r="K2425" i="4"/>
  <c r="R2424" i="4"/>
  <c r="K2424" i="4"/>
  <c r="R2423" i="4"/>
  <c r="K2423" i="4"/>
  <c r="R2422" i="4"/>
  <c r="K2422" i="4"/>
  <c r="R2421" i="4"/>
  <c r="K2421" i="4"/>
  <c r="R2420" i="4"/>
  <c r="K2420" i="4"/>
  <c r="R2394" i="4"/>
  <c r="K2394" i="4"/>
  <c r="R2382" i="4"/>
  <c r="K2382" i="4"/>
  <c r="R2379" i="4"/>
  <c r="K2379" i="4"/>
  <c r="R2378" i="4"/>
  <c r="K2378" i="4"/>
  <c r="R2377" i="4"/>
  <c r="K2377" i="4"/>
  <c r="R2376" i="4"/>
  <c r="K2376" i="4"/>
  <c r="R2381" i="4"/>
  <c r="K2381" i="4"/>
  <c r="R2380" i="4"/>
  <c r="K2380" i="4"/>
  <c r="R2358" i="4"/>
  <c r="K2358" i="4"/>
  <c r="R2333" i="4"/>
  <c r="K2333" i="4"/>
  <c r="R2332" i="4"/>
  <c r="K2332" i="4"/>
  <c r="R2331" i="4"/>
  <c r="K2331" i="4"/>
  <c r="R2330" i="4"/>
  <c r="K2330" i="4"/>
  <c r="R2329" i="4"/>
  <c r="K2329" i="4"/>
  <c r="R2328" i="4"/>
  <c r="K2328" i="4"/>
  <c r="R2323" i="4"/>
  <c r="K2323" i="4"/>
  <c r="R2322" i="4"/>
  <c r="K2322" i="4"/>
  <c r="R2307" i="4"/>
  <c r="K2307" i="4"/>
  <c r="R2306" i="4"/>
  <c r="K2306" i="4"/>
  <c r="R2305" i="4"/>
  <c r="K2305" i="4"/>
  <c r="R2241" i="4"/>
  <c r="K2241" i="4"/>
  <c r="R2240" i="4"/>
  <c r="K2240" i="4"/>
  <c r="R2239" i="4"/>
  <c r="K2239" i="4"/>
  <c r="R2238" i="4"/>
  <c r="K2238" i="4"/>
  <c r="R2267" i="4"/>
  <c r="K2267" i="4"/>
  <c r="R2266" i="4"/>
  <c r="K2266" i="4"/>
  <c r="R2265" i="4"/>
  <c r="K2265" i="4"/>
  <c r="R2264" i="4"/>
  <c r="K2264" i="4"/>
  <c r="R2263" i="4"/>
  <c r="K2263" i="4"/>
  <c r="R2262" i="4"/>
  <c r="K2262" i="4"/>
  <c r="R2261" i="4"/>
  <c r="K2261" i="4"/>
  <c r="R2260" i="4"/>
  <c r="K2260" i="4"/>
  <c r="R2259" i="4"/>
  <c r="K2259" i="4"/>
  <c r="R2258" i="4"/>
  <c r="K2258" i="4"/>
  <c r="R2257" i="4"/>
  <c r="K2257" i="4"/>
  <c r="R2256" i="4"/>
  <c r="K2256" i="4"/>
  <c r="R2215" i="4"/>
  <c r="K2215" i="4"/>
  <c r="R2214" i="4"/>
  <c r="K2214" i="4"/>
  <c r="R2213" i="4"/>
  <c r="K2213" i="4"/>
  <c r="R2212" i="4"/>
  <c r="K2212" i="4"/>
  <c r="R2211" i="4"/>
  <c r="K2211" i="4"/>
  <c r="R2210" i="4"/>
  <c r="K2210" i="4"/>
  <c r="R2198" i="4"/>
  <c r="K2198" i="4"/>
  <c r="R2197" i="4"/>
  <c r="K2197" i="4"/>
  <c r="R2196" i="4"/>
  <c r="K2196" i="4"/>
  <c r="R2195" i="4"/>
  <c r="K2195" i="4"/>
  <c r="R2194" i="4"/>
  <c r="K2194" i="4"/>
  <c r="R2193" i="4"/>
  <c r="K2193" i="4"/>
  <c r="R2192" i="4"/>
  <c r="K2192" i="4"/>
  <c r="R2184" i="4"/>
  <c r="K2184" i="4"/>
  <c r="R2183" i="4"/>
  <c r="K2183" i="4"/>
  <c r="R2182" i="4"/>
  <c r="K2182" i="4"/>
  <c r="R2181" i="4"/>
  <c r="K2181" i="4"/>
  <c r="R2180" i="4"/>
  <c r="K2180" i="4"/>
  <c r="R2179" i="4"/>
  <c r="K2179" i="4"/>
  <c r="R2178" i="4"/>
  <c r="K2178" i="4"/>
  <c r="R2177" i="4"/>
  <c r="K2177" i="4"/>
  <c r="R2167" i="4"/>
  <c r="K2167" i="4"/>
  <c r="R2166" i="4"/>
  <c r="K2166" i="4"/>
  <c r="R2165" i="4"/>
  <c r="K2165" i="4"/>
  <c r="R2088" i="4"/>
  <c r="K2088" i="4"/>
  <c r="R2087" i="4"/>
  <c r="K2087" i="4"/>
  <c r="R2086" i="4"/>
  <c r="K2086" i="4"/>
  <c r="R2085" i="4"/>
  <c r="K2085" i="4"/>
  <c r="R2084" i="4"/>
  <c r="K2084" i="4"/>
  <c r="R2083" i="4"/>
  <c r="K2083" i="4"/>
  <c r="R2082" i="4"/>
  <c r="K2082" i="4"/>
  <c r="R2081" i="4"/>
  <c r="K2081" i="4"/>
  <c r="R2080" i="4"/>
  <c r="K2080" i="4"/>
  <c r="R2079" i="4"/>
  <c r="K2079" i="4"/>
  <c r="R2078" i="4"/>
  <c r="K2078" i="4"/>
  <c r="R2171" i="4"/>
  <c r="K2171" i="4"/>
  <c r="R2170" i="4"/>
  <c r="K2170" i="4"/>
  <c r="R2169" i="4"/>
  <c r="K2169" i="4"/>
  <c r="R2168" i="4"/>
  <c r="K2168" i="4"/>
  <c r="R2154" i="4"/>
  <c r="K2154" i="4"/>
  <c r="R2153" i="4"/>
  <c r="K2153" i="4"/>
  <c r="R2152" i="4"/>
  <c r="K2152" i="4"/>
  <c r="R2151" i="4"/>
  <c r="K2151" i="4"/>
  <c r="R2150" i="4"/>
  <c r="K2150" i="4"/>
  <c r="R2149" i="4"/>
  <c r="K2149" i="4"/>
  <c r="R2159" i="4"/>
  <c r="K2159" i="4"/>
  <c r="R2158" i="4"/>
  <c r="K2158" i="4"/>
  <c r="R2157" i="4"/>
  <c r="K2157" i="4"/>
  <c r="R2156" i="4"/>
  <c r="K2156" i="4"/>
  <c r="R2143" i="4"/>
  <c r="K2143" i="4"/>
  <c r="R2142" i="4"/>
  <c r="K2142" i="4"/>
  <c r="R2141" i="4"/>
  <c r="K2141" i="4"/>
  <c r="R2140" i="4"/>
  <c r="K2140" i="4"/>
  <c r="R2139" i="4"/>
  <c r="K2139" i="4"/>
  <c r="R2138" i="4"/>
  <c r="K2138" i="4"/>
  <c r="R2137" i="4"/>
  <c r="K2137" i="4"/>
  <c r="R2136" i="4"/>
  <c r="K2136" i="4"/>
  <c r="R2135" i="4"/>
  <c r="K2135" i="4"/>
  <c r="R2134" i="4"/>
  <c r="K2134" i="4"/>
  <c r="R2133" i="4"/>
  <c r="K2133" i="4"/>
  <c r="R2132" i="4"/>
  <c r="K2132" i="4"/>
  <c r="R2131" i="4"/>
  <c r="K2131" i="4"/>
  <c r="R2126" i="4"/>
  <c r="K2126" i="4"/>
  <c r="R2125" i="4"/>
  <c r="K2125" i="4"/>
  <c r="R2124" i="4"/>
  <c r="K2124" i="4"/>
  <c r="R2123" i="4"/>
  <c r="K2123" i="4"/>
  <c r="R2104" i="4"/>
  <c r="K2104" i="4"/>
  <c r="R2103" i="4"/>
  <c r="K2103" i="4"/>
  <c r="R2102" i="4"/>
  <c r="K2102" i="4"/>
  <c r="R2101" i="4"/>
  <c r="K2101" i="4"/>
  <c r="R2097" i="4"/>
  <c r="K2097" i="4"/>
  <c r="R2096" i="4"/>
  <c r="K2096" i="4"/>
  <c r="R2095" i="4"/>
  <c r="K2095" i="4"/>
  <c r="R2094" i="4"/>
  <c r="K2094" i="4"/>
  <c r="R2093" i="4"/>
  <c r="K2093" i="4"/>
  <c r="R2092" i="4"/>
  <c r="K2092" i="4"/>
  <c r="R2091" i="4"/>
  <c r="K2091" i="4"/>
  <c r="R2090" i="4"/>
  <c r="K2090" i="4"/>
  <c r="R2089" i="4"/>
  <c r="K2089" i="4"/>
  <c r="R2077" i="4"/>
  <c r="K2077" i="4"/>
  <c r="R2076" i="4"/>
  <c r="K2076" i="4"/>
  <c r="R2075" i="4"/>
  <c r="K2075" i="4"/>
  <c r="R2074" i="4"/>
  <c r="K2074" i="4"/>
  <c r="R2073" i="4"/>
  <c r="K2073" i="4"/>
  <c r="R2072" i="4"/>
  <c r="K2072" i="4"/>
  <c r="R2065" i="4"/>
  <c r="K2065" i="4"/>
  <c r="R2064" i="4"/>
  <c r="K2064" i="4"/>
  <c r="R2058" i="4"/>
  <c r="K2058" i="4"/>
  <c r="R2057" i="4"/>
  <c r="K2057" i="4"/>
  <c r="R2056" i="4"/>
  <c r="K2056" i="4"/>
  <c r="R2055" i="4"/>
  <c r="K2055" i="4"/>
  <c r="R2054" i="4"/>
  <c r="K2054" i="4"/>
  <c r="R2053" i="4"/>
  <c r="K2053" i="4"/>
  <c r="R2052" i="4"/>
  <c r="K2052" i="4"/>
  <c r="R2051" i="4"/>
  <c r="K2051" i="4"/>
  <c r="R2050" i="4"/>
  <c r="K2050" i="4"/>
  <c r="R2049" i="4"/>
  <c r="K2049" i="4"/>
  <c r="R2048" i="4"/>
  <c r="K2048" i="4"/>
  <c r="R2047" i="4"/>
  <c r="K2047" i="4"/>
  <c r="R2046" i="4"/>
  <c r="K2046" i="4"/>
  <c r="R2045" i="4"/>
  <c r="K2045" i="4"/>
  <c r="R2044" i="4"/>
  <c r="K2044" i="4"/>
  <c r="R2043" i="4"/>
  <c r="K2043" i="4"/>
  <c r="R2042" i="4"/>
  <c r="K2042" i="4"/>
  <c r="R2199" i="4"/>
  <c r="K2199" i="4"/>
  <c r="R2041" i="4"/>
  <c r="K2041" i="4"/>
  <c r="R2040" i="4"/>
  <c r="K2040" i="4"/>
  <c r="R2039" i="4"/>
  <c r="K2039" i="4"/>
  <c r="R2038" i="4"/>
  <c r="K2038" i="4"/>
  <c r="R2033" i="4"/>
  <c r="K2033" i="4"/>
  <c r="R2032" i="4"/>
  <c r="K2032" i="4"/>
  <c r="R2031" i="4"/>
  <c r="K2031" i="4"/>
  <c r="R2030" i="4"/>
  <c r="K2030" i="4"/>
  <c r="R2029" i="4"/>
  <c r="K2029" i="4"/>
  <c r="R2028" i="4"/>
  <c r="K2028" i="4"/>
  <c r="R2027" i="4"/>
  <c r="K2027" i="4"/>
  <c r="R2026" i="4"/>
  <c r="K2026" i="4"/>
  <c r="R2015" i="4"/>
  <c r="K2015" i="4"/>
  <c r="R2014" i="4"/>
  <c r="K2014" i="4"/>
  <c r="R2013" i="4"/>
  <c r="K2013" i="4"/>
  <c r="R2012" i="4"/>
  <c r="K2012" i="4"/>
  <c r="R2011" i="4"/>
  <c r="K2011" i="4"/>
  <c r="R1985" i="4"/>
  <c r="K1985" i="4"/>
  <c r="R1984" i="4"/>
  <c r="K1984" i="4"/>
  <c r="R1970" i="4"/>
  <c r="K1970" i="4"/>
  <c r="R1969" i="4"/>
  <c r="K1969" i="4"/>
  <c r="R1968" i="4"/>
  <c r="K1968" i="4"/>
  <c r="R1967" i="4"/>
  <c r="K1967" i="4"/>
  <c r="R1957" i="4"/>
  <c r="K1957" i="4"/>
  <c r="R1949" i="4"/>
  <c r="K1949" i="4"/>
  <c r="R1948" i="4"/>
  <c r="K1948" i="4"/>
  <c r="R1947" i="4"/>
  <c r="K1947" i="4"/>
  <c r="R1946" i="4"/>
  <c r="K1946" i="4"/>
  <c r="R1945" i="4"/>
  <c r="K1945" i="4"/>
  <c r="R1944" i="4"/>
  <c r="K1944" i="4"/>
  <c r="R1943" i="4"/>
  <c r="K1943" i="4"/>
  <c r="R1942" i="4"/>
  <c r="K1942" i="4"/>
  <c r="R1941" i="4"/>
  <c r="K1941" i="4"/>
  <c r="R1927" i="4"/>
  <c r="K1927" i="4"/>
  <c r="R1926" i="4"/>
  <c r="K1926" i="4"/>
  <c r="R1925" i="4"/>
  <c r="K1925" i="4"/>
  <c r="R1921" i="4"/>
  <c r="K1921" i="4"/>
  <c r="R1920" i="4"/>
  <c r="K1920" i="4"/>
  <c r="R1919" i="4"/>
  <c r="K1919" i="4"/>
  <c r="R1906" i="4"/>
  <c r="K1906" i="4"/>
  <c r="R1909" i="4"/>
  <c r="K1909" i="4"/>
  <c r="R1908" i="4"/>
  <c r="K1908" i="4"/>
  <c r="R1907" i="4"/>
  <c r="K1907" i="4"/>
  <c r="R1732" i="4"/>
  <c r="K1732" i="4"/>
  <c r="R1731" i="4"/>
  <c r="K1731" i="4"/>
  <c r="R1938" i="4"/>
  <c r="K1938" i="4"/>
  <c r="R1936" i="4"/>
  <c r="K1936" i="4"/>
  <c r="R1935" i="4"/>
  <c r="K1935" i="4"/>
  <c r="R1937" i="4"/>
  <c r="K1937" i="4"/>
  <c r="R1705" i="4"/>
  <c r="K1705" i="4"/>
  <c r="R1707" i="4"/>
  <c r="K1707" i="4"/>
  <c r="R1706" i="4"/>
  <c r="K1706" i="4"/>
  <c r="R1697" i="4"/>
  <c r="K1697" i="4"/>
  <c r="R1696" i="4"/>
  <c r="K1696" i="4"/>
  <c r="R1695" i="4"/>
  <c r="K1695" i="4"/>
  <c r="R1694" i="4"/>
  <c r="K1694" i="4"/>
  <c r="R1690" i="4"/>
  <c r="K1690" i="4"/>
  <c r="R1689" i="4"/>
  <c r="K1689" i="4"/>
  <c r="R1688" i="4"/>
  <c r="K1688" i="4"/>
  <c r="R1683" i="4"/>
  <c r="K1683" i="4"/>
  <c r="R1675" i="4"/>
  <c r="K1675" i="4"/>
  <c r="R1674" i="4"/>
  <c r="K1674" i="4"/>
  <c r="R1673" i="4"/>
  <c r="K1673" i="4"/>
  <c r="R1672" i="4"/>
  <c r="K1672" i="4"/>
  <c r="R1671" i="4"/>
  <c r="K1671" i="4"/>
  <c r="R1670" i="4"/>
  <c r="K1670" i="4"/>
  <c r="R1669" i="4"/>
  <c r="K1669" i="4"/>
  <c r="R1668" i="4"/>
  <c r="K1668" i="4"/>
  <c r="R1667" i="4"/>
  <c r="K1667" i="4"/>
  <c r="R1661" i="4"/>
  <c r="K1661" i="4"/>
  <c r="R1660" i="4"/>
  <c r="K1660" i="4"/>
  <c r="R1659" i="4"/>
  <c r="K1659" i="4"/>
  <c r="R1658" i="4"/>
  <c r="K1658" i="4"/>
  <c r="R1655" i="4"/>
  <c r="K1655" i="4"/>
  <c r="R1654" i="4"/>
  <c r="K1654" i="4"/>
  <c r="R1653" i="4"/>
  <c r="K1653" i="4"/>
  <c r="R1652" i="4"/>
  <c r="K1652" i="4"/>
  <c r="R1651" i="4"/>
  <c r="K1651" i="4"/>
  <c r="R1649" i="4"/>
  <c r="K1649" i="4"/>
  <c r="R1648" i="4"/>
  <c r="K1648" i="4"/>
  <c r="R1647" i="4"/>
  <c r="K1647" i="4"/>
  <c r="R1646" i="4"/>
  <c r="K1646" i="4"/>
  <c r="R1628" i="4"/>
  <c r="K1628" i="4"/>
  <c r="R1614" i="4"/>
  <c r="K1614" i="4"/>
  <c r="R1613" i="4"/>
  <c r="K1613" i="4"/>
  <c r="R1612" i="4"/>
  <c r="K1612" i="4"/>
  <c r="R1611" i="4"/>
  <c r="K1611" i="4"/>
  <c r="R1598" i="4"/>
  <c r="K1598" i="4"/>
  <c r="R1597" i="4"/>
  <c r="K1597" i="4"/>
  <c r="R1596" i="4"/>
  <c r="K1596" i="4"/>
  <c r="R1595" i="4"/>
  <c r="K1595" i="4"/>
  <c r="R1590" i="4"/>
  <c r="K1590" i="4"/>
  <c r="R1589" i="4"/>
  <c r="K1589" i="4"/>
  <c r="R1588" i="4"/>
  <c r="K1588" i="4"/>
  <c r="R1587" i="4"/>
  <c r="K1587" i="4"/>
  <c r="R1586" i="4"/>
  <c r="K1586" i="4"/>
  <c r="R1585" i="4"/>
  <c r="K1585" i="4"/>
  <c r="R1584" i="4"/>
  <c r="K1584" i="4"/>
  <c r="R1583" i="4"/>
  <c r="K1583" i="4"/>
  <c r="R1582" i="4"/>
  <c r="K1582" i="4"/>
  <c r="R1562" i="4"/>
  <c r="K1562" i="4"/>
  <c r="R1561" i="4"/>
  <c r="K1561" i="4"/>
  <c r="R1560" i="4"/>
  <c r="K1560" i="4"/>
  <c r="R1559" i="4"/>
  <c r="K1559" i="4"/>
  <c r="R1558" i="4"/>
  <c r="K1558" i="4"/>
  <c r="R1557" i="4"/>
  <c r="K1557" i="4"/>
  <c r="R1551" i="4"/>
  <c r="K1551" i="4"/>
  <c r="R1550" i="4"/>
  <c r="K1550" i="4"/>
  <c r="R1549" i="4"/>
  <c r="K1549" i="4"/>
  <c r="R1548" i="4"/>
  <c r="K1548" i="4"/>
  <c r="R1547" i="4"/>
  <c r="K1547" i="4"/>
  <c r="R1543" i="4"/>
  <c r="K1543" i="4"/>
  <c r="R1546" i="4"/>
  <c r="K1546" i="4"/>
  <c r="R1545" i="4"/>
  <c r="K1545" i="4"/>
  <c r="R1544" i="4"/>
  <c r="K1544" i="4"/>
  <c r="R1542" i="4"/>
  <c r="K1542" i="4"/>
  <c r="R1541" i="4"/>
  <c r="K1541" i="4"/>
  <c r="R1540" i="4"/>
  <c r="K1540" i="4"/>
  <c r="R1539" i="4"/>
  <c r="K1539" i="4"/>
  <c r="R1528" i="4"/>
  <c r="K1528" i="4"/>
  <c r="R1527" i="4"/>
  <c r="K1527" i="4"/>
  <c r="R1526" i="4"/>
  <c r="K1526" i="4"/>
  <c r="R1520" i="4"/>
  <c r="K1520" i="4"/>
  <c r="R1519" i="4"/>
  <c r="K1519" i="4"/>
  <c r="R1517" i="4"/>
  <c r="K1517" i="4"/>
  <c r="R1518" i="4"/>
  <c r="K1518" i="4"/>
  <c r="R1516" i="4"/>
  <c r="K1516" i="4"/>
  <c r="R1515" i="4"/>
  <c r="K1515" i="4"/>
  <c r="R1514" i="4"/>
  <c r="K1514" i="4"/>
  <c r="R1513" i="4"/>
  <c r="K1513" i="4"/>
  <c r="R1512" i="4"/>
  <c r="K1512" i="4"/>
  <c r="R1511" i="4"/>
  <c r="K1511" i="4"/>
  <c r="R1510" i="4"/>
  <c r="K1510" i="4"/>
  <c r="R1509" i="4"/>
  <c r="K1509" i="4"/>
  <c r="R1508" i="4"/>
  <c r="K1508" i="4"/>
  <c r="R1507" i="4"/>
  <c r="K1507" i="4"/>
  <c r="R1506" i="4"/>
  <c r="K1506" i="4"/>
  <c r="R1505" i="4"/>
  <c r="K1505" i="4"/>
  <c r="R1504" i="4"/>
  <c r="K1504" i="4"/>
  <c r="R1503" i="4"/>
  <c r="K1503" i="4"/>
  <c r="R1502" i="4"/>
  <c r="K1502" i="4"/>
  <c r="R1501" i="4"/>
  <c r="K1501" i="4"/>
  <c r="R1500" i="4"/>
  <c r="K1500" i="4"/>
  <c r="R1499" i="4"/>
  <c r="K1499" i="4"/>
  <c r="R1498" i="4"/>
  <c r="K1498" i="4"/>
  <c r="R1497" i="4"/>
  <c r="K1497" i="4"/>
  <c r="R1496" i="4"/>
  <c r="K1496" i="4"/>
  <c r="R1495" i="4"/>
  <c r="K1495" i="4"/>
  <c r="R1494" i="4"/>
  <c r="K1494" i="4"/>
  <c r="R1493" i="4"/>
  <c r="K1493" i="4"/>
  <c r="R1492" i="4"/>
  <c r="K1492" i="4"/>
  <c r="R1491" i="4"/>
  <c r="K1491" i="4"/>
  <c r="R1490" i="4"/>
  <c r="K1490" i="4"/>
  <c r="R1489" i="4"/>
  <c r="K1489" i="4"/>
  <c r="R1488" i="4"/>
  <c r="K1488" i="4"/>
  <c r="R1487" i="4"/>
  <c r="K1487" i="4"/>
  <c r="R1486" i="4"/>
  <c r="K1486" i="4"/>
  <c r="R1485" i="4"/>
  <c r="K1485" i="4"/>
  <c r="R1484" i="4"/>
  <c r="K1484" i="4"/>
  <c r="R1483" i="4"/>
  <c r="K1483" i="4"/>
  <c r="R1482" i="4"/>
  <c r="K1482" i="4"/>
  <c r="R1481" i="4"/>
  <c r="K1481" i="4"/>
  <c r="R1480" i="4"/>
  <c r="K1480" i="4"/>
  <c r="R1479" i="4"/>
  <c r="K1479" i="4"/>
  <c r="R1478" i="4"/>
  <c r="K1478" i="4"/>
  <c r="R1477" i="4"/>
  <c r="K1477" i="4"/>
  <c r="R1476" i="4"/>
  <c r="K1476" i="4"/>
  <c r="R1475" i="4"/>
  <c r="K1475" i="4"/>
  <c r="R1474" i="4"/>
  <c r="K1474" i="4"/>
  <c r="R1464" i="4"/>
  <c r="K1464" i="4"/>
  <c r="R1463" i="4"/>
  <c r="K1463" i="4"/>
  <c r="R1462" i="4"/>
  <c r="K1462" i="4"/>
  <c r="R1461" i="4"/>
  <c r="K1461" i="4"/>
  <c r="R1460" i="4"/>
  <c r="K1460" i="4"/>
  <c r="R1459" i="4"/>
  <c r="K1459" i="4"/>
  <c r="R1458" i="4"/>
  <c r="K1458" i="4"/>
  <c r="R1457" i="4"/>
  <c r="K1457" i="4"/>
  <c r="R1456" i="4"/>
  <c r="K1456" i="4"/>
  <c r="R1455" i="4"/>
  <c r="K1455" i="4"/>
  <c r="R1454" i="4"/>
  <c r="K1454" i="4"/>
  <c r="R1453" i="4"/>
  <c r="K1453" i="4"/>
  <c r="R1446" i="4"/>
  <c r="K1446" i="4"/>
  <c r="R1431" i="4"/>
  <c r="K1431" i="4"/>
  <c r="R1430" i="4"/>
  <c r="K1430" i="4"/>
  <c r="R1429" i="4"/>
  <c r="K1429" i="4"/>
  <c r="R1428" i="4"/>
  <c r="K1428" i="4"/>
  <c r="R1427" i="4"/>
  <c r="K1427" i="4"/>
  <c r="R1426" i="4"/>
  <c r="K1426" i="4"/>
  <c r="R1425" i="4"/>
  <c r="K1425" i="4"/>
  <c r="R1424" i="4"/>
  <c r="K1424" i="4"/>
  <c r="R1423" i="4"/>
  <c r="K1423" i="4"/>
  <c r="R1422" i="4"/>
  <c r="K1422" i="4"/>
  <c r="R1421" i="4"/>
  <c r="K1421" i="4"/>
  <c r="R1420" i="4"/>
  <c r="K1420" i="4"/>
  <c r="R1419" i="4"/>
  <c r="K1419" i="4"/>
  <c r="R1418" i="4"/>
  <c r="K1418" i="4"/>
  <c r="R1396" i="4"/>
  <c r="K1396" i="4"/>
  <c r="R1391" i="4"/>
  <c r="K1391" i="4"/>
  <c r="R1347" i="4"/>
  <c r="K1347" i="4"/>
  <c r="R1280" i="4"/>
  <c r="K1280" i="4"/>
  <c r="R1279" i="4"/>
  <c r="K1279" i="4"/>
  <c r="R1278" i="4"/>
  <c r="K1278" i="4"/>
  <c r="R1277" i="4"/>
  <c r="K1277" i="4"/>
  <c r="R1276" i="4"/>
  <c r="K1276" i="4"/>
  <c r="R1275" i="4"/>
  <c r="K1275" i="4"/>
  <c r="R1274" i="4"/>
  <c r="K1274" i="4"/>
  <c r="R1273" i="4"/>
  <c r="K1273" i="4"/>
  <c r="R1272" i="4"/>
  <c r="K1272" i="4"/>
  <c r="R1271" i="4"/>
  <c r="K1271" i="4"/>
  <c r="R1270" i="4"/>
  <c r="K1270" i="4"/>
  <c r="R1269" i="4"/>
  <c r="K1269" i="4"/>
  <c r="R1268" i="4"/>
  <c r="K1268" i="4"/>
  <c r="R1267" i="4"/>
  <c r="K1267" i="4"/>
  <c r="R1266" i="4"/>
  <c r="K1266" i="4"/>
  <c r="R1244" i="4"/>
  <c r="K1244" i="4"/>
  <c r="R1243" i="4"/>
  <c r="K1243" i="4"/>
  <c r="R1242" i="4"/>
  <c r="K1242" i="4"/>
  <c r="R1241" i="4"/>
  <c r="K1241" i="4"/>
  <c r="R1240" i="4"/>
  <c r="K1240" i="4"/>
  <c r="R1239" i="4"/>
  <c r="K1239" i="4"/>
  <c r="R1238" i="4"/>
  <c r="K1238" i="4"/>
  <c r="R1237" i="4"/>
  <c r="K1237" i="4"/>
  <c r="R1236" i="4"/>
  <c r="K1236" i="4"/>
  <c r="R1235" i="4"/>
  <c r="K1235" i="4"/>
  <c r="R1234" i="4"/>
  <c r="K1234" i="4"/>
  <c r="R1233" i="4"/>
  <c r="K1233" i="4"/>
  <c r="R1232" i="4"/>
  <c r="K1232" i="4"/>
  <c r="R1231" i="4"/>
  <c r="K1231" i="4"/>
  <c r="R1230" i="4"/>
  <c r="K1230" i="4"/>
  <c r="R1229" i="4"/>
  <c r="K1229" i="4"/>
  <c r="R1249" i="4"/>
  <c r="K1249" i="4"/>
  <c r="R1248" i="4"/>
  <c r="K1248" i="4"/>
  <c r="R1247" i="4"/>
  <c r="K1247" i="4"/>
  <c r="R1246" i="4"/>
  <c r="K1246" i="4"/>
  <c r="R1245" i="4"/>
  <c r="K1245" i="4"/>
  <c r="R1252" i="4"/>
  <c r="K1252" i="4"/>
  <c r="R1251" i="4"/>
  <c r="K1251" i="4"/>
  <c r="R1250" i="4"/>
  <c r="K1250" i="4"/>
  <c r="R1228" i="4"/>
  <c r="K1228" i="4"/>
  <c r="R1227" i="4"/>
  <c r="K1227" i="4"/>
  <c r="R1226" i="4"/>
  <c r="K1226" i="4"/>
  <c r="R1225" i="4"/>
  <c r="K1225" i="4"/>
  <c r="R1224" i="4"/>
  <c r="K1224" i="4"/>
  <c r="R1223" i="4"/>
  <c r="K1223" i="4"/>
  <c r="R1222" i="4"/>
  <c r="K1222" i="4"/>
  <c r="R1221" i="4"/>
  <c r="K1221" i="4"/>
  <c r="R1220" i="4"/>
  <c r="K1220" i="4"/>
  <c r="R1219" i="4"/>
  <c r="K1219" i="4"/>
  <c r="R1218" i="4"/>
  <c r="K1218" i="4"/>
  <c r="R1217" i="4"/>
  <c r="K1217" i="4"/>
  <c r="R1216" i="4"/>
  <c r="K1216" i="4"/>
  <c r="R1215" i="4"/>
  <c r="K1215" i="4"/>
  <c r="R1214" i="4"/>
  <c r="K1214" i="4"/>
  <c r="R1213" i="4"/>
  <c r="K1213" i="4"/>
  <c r="R1204" i="4"/>
  <c r="K1204" i="4"/>
  <c r="R1203" i="4"/>
  <c r="K1203" i="4"/>
  <c r="R1202" i="4"/>
  <c r="K1202" i="4"/>
  <c r="R1191" i="4"/>
  <c r="K1191" i="4"/>
  <c r="R1190" i="4"/>
  <c r="K1190" i="4"/>
  <c r="R1189" i="4"/>
  <c r="K1189" i="4"/>
  <c r="R1188" i="4"/>
  <c r="K1188" i="4"/>
  <c r="R1187" i="4"/>
  <c r="K1187" i="4"/>
  <c r="R1186" i="4"/>
  <c r="K1186" i="4"/>
  <c r="R1185" i="4"/>
  <c r="K1185" i="4"/>
  <c r="R1184" i="4"/>
  <c r="K1184" i="4"/>
  <c r="R1183" i="4"/>
  <c r="K1183" i="4"/>
  <c r="R1182" i="4"/>
  <c r="K1182" i="4"/>
  <c r="R1181" i="4"/>
  <c r="K1181" i="4"/>
  <c r="R1180" i="4"/>
  <c r="K1180" i="4"/>
  <c r="R1116" i="4"/>
  <c r="K1116" i="4"/>
  <c r="R1117" i="4"/>
  <c r="K1117" i="4"/>
  <c r="R1093" i="4"/>
  <c r="K1093" i="4"/>
  <c r="R1092" i="4"/>
  <c r="K1092" i="4"/>
  <c r="R1091" i="4"/>
  <c r="K1091" i="4"/>
  <c r="R1090" i="4"/>
  <c r="K1090" i="4"/>
  <c r="R1077" i="4"/>
  <c r="K1077" i="4"/>
  <c r="R1076" i="4"/>
  <c r="K1076" i="4"/>
  <c r="R1075" i="4"/>
  <c r="K1075" i="4"/>
  <c r="R1074" i="4"/>
  <c r="K1074" i="4"/>
  <c r="R1073" i="4"/>
  <c r="K1073" i="4"/>
  <c r="R1072" i="4"/>
  <c r="K1072" i="4"/>
  <c r="R1071" i="4"/>
  <c r="K1071" i="4"/>
  <c r="R1070" i="4"/>
  <c r="K1070" i="4"/>
  <c r="R1069" i="4"/>
  <c r="K1069" i="4"/>
  <c r="R1068" i="4"/>
  <c r="K1068" i="4"/>
  <c r="R1065" i="4"/>
  <c r="K1065" i="4"/>
  <c r="R1064" i="4"/>
  <c r="K1064" i="4"/>
  <c r="R1063" i="4"/>
  <c r="K1063" i="4"/>
  <c r="R1062" i="4"/>
  <c r="K1062" i="4"/>
  <c r="R1061" i="4"/>
  <c r="K1061" i="4"/>
  <c r="R1060" i="4"/>
  <c r="K1060" i="4"/>
  <c r="R1067" i="4"/>
  <c r="K1067" i="4"/>
  <c r="R1066" i="4"/>
  <c r="K1066" i="4"/>
  <c r="R1059" i="4"/>
  <c r="K1059" i="4"/>
  <c r="R1058" i="4"/>
  <c r="K1058" i="4"/>
  <c r="R1057" i="4"/>
  <c r="K1057" i="4"/>
  <c r="R1050" i="4"/>
  <c r="K1050" i="4"/>
  <c r="R1049" i="4"/>
  <c r="K1049" i="4"/>
  <c r="R1048" i="4"/>
  <c r="K1048" i="4"/>
  <c r="R1047" i="4"/>
  <c r="K1047" i="4"/>
  <c r="R1008" i="4"/>
  <c r="K1008" i="4"/>
  <c r="R1007" i="4"/>
  <c r="K1007" i="4"/>
  <c r="R997" i="4"/>
  <c r="K997" i="4"/>
  <c r="R996" i="4"/>
  <c r="K996" i="4"/>
  <c r="R998" i="4"/>
  <c r="K998" i="4"/>
  <c r="R979" i="4"/>
  <c r="K979" i="4"/>
  <c r="R978" i="4"/>
  <c r="K978" i="4"/>
  <c r="R977" i="4"/>
  <c r="K977" i="4"/>
  <c r="R976" i="4"/>
  <c r="K976" i="4"/>
  <c r="R975" i="4"/>
  <c r="K975" i="4"/>
  <c r="R959" i="4"/>
  <c r="K959" i="4"/>
  <c r="R958" i="4"/>
  <c r="K958" i="4"/>
  <c r="R957" i="4"/>
  <c r="K957" i="4"/>
  <c r="R956" i="4"/>
  <c r="K956" i="4"/>
  <c r="R955" i="4"/>
  <c r="K955" i="4"/>
  <c r="R954" i="4"/>
  <c r="K954" i="4"/>
  <c r="R953" i="4"/>
  <c r="K953" i="4"/>
  <c r="R933" i="4"/>
  <c r="K933" i="4"/>
  <c r="R932" i="4"/>
  <c r="K932" i="4"/>
  <c r="R931" i="4"/>
  <c r="K931" i="4"/>
  <c r="R930" i="4"/>
  <c r="K930" i="4"/>
  <c r="R929" i="4"/>
  <c r="K929" i="4"/>
  <c r="R920" i="4"/>
  <c r="K920" i="4"/>
  <c r="R919" i="4"/>
  <c r="K919" i="4"/>
  <c r="R918" i="4"/>
  <c r="K918" i="4"/>
  <c r="R917" i="4"/>
  <c r="K917" i="4"/>
  <c r="R896" i="4"/>
  <c r="K896" i="4"/>
  <c r="R895" i="4"/>
  <c r="K895" i="4"/>
  <c r="R894" i="4"/>
  <c r="K894" i="4"/>
  <c r="R893" i="4"/>
  <c r="K893" i="4"/>
  <c r="R892" i="4"/>
  <c r="K892" i="4"/>
  <c r="R891" i="4"/>
  <c r="K891" i="4"/>
  <c r="R870" i="4"/>
  <c r="K870" i="4"/>
  <c r="R857" i="4"/>
  <c r="K857" i="4"/>
  <c r="R830" i="4"/>
  <c r="K830" i="4"/>
  <c r="R829" i="4"/>
  <c r="K829" i="4"/>
  <c r="R812" i="4"/>
  <c r="K812" i="4"/>
  <c r="R500" i="4"/>
  <c r="K500" i="4"/>
  <c r="R499" i="4"/>
  <c r="K499" i="4"/>
  <c r="R313" i="4"/>
  <c r="K313" i="4"/>
  <c r="R312" i="4"/>
  <c r="K312" i="4"/>
  <c r="R213" i="4"/>
  <c r="K213" i="4"/>
  <c r="R212" i="4"/>
  <c r="K212" i="4"/>
  <c r="R211" i="4"/>
  <c r="K211" i="4"/>
  <c r="R498" i="4"/>
  <c r="K498" i="4"/>
  <c r="R231" i="4"/>
  <c r="K231" i="4"/>
  <c r="R230" i="4"/>
  <c r="K230" i="4"/>
  <c r="R229" i="4"/>
  <c r="K229" i="4"/>
  <c r="R228" i="4"/>
  <c r="K228" i="4"/>
  <c r="R497" i="4"/>
  <c r="K497" i="4"/>
  <c r="R496" i="4"/>
  <c r="K496" i="4"/>
  <c r="R495" i="4"/>
  <c r="K495" i="4"/>
  <c r="R494" i="4"/>
  <c r="K494" i="4"/>
  <c r="R493" i="4"/>
  <c r="K493" i="4"/>
  <c r="R227" i="4"/>
  <c r="K227" i="4"/>
  <c r="R226" i="4"/>
  <c r="K226" i="4"/>
  <c r="R225" i="4"/>
  <c r="K225" i="4"/>
  <c r="R224" i="4"/>
  <c r="K224" i="4"/>
  <c r="R223" i="4"/>
  <c r="K223" i="4"/>
  <c r="R222" i="4"/>
  <c r="K222" i="4"/>
  <c r="R221" i="4"/>
  <c r="K221" i="4"/>
  <c r="R220" i="4"/>
  <c r="K220" i="4"/>
  <c r="R2190" i="4"/>
  <c r="K2190" i="4"/>
  <c r="R2189" i="4"/>
  <c r="K2189" i="4"/>
  <c r="R764" i="4"/>
  <c r="K764" i="4"/>
  <c r="R763" i="4"/>
  <c r="K763" i="4"/>
  <c r="R762" i="4"/>
  <c r="K762" i="4"/>
  <c r="R761" i="4"/>
  <c r="K761" i="4"/>
  <c r="R760" i="4"/>
  <c r="K760" i="4"/>
  <c r="R759" i="4"/>
  <c r="K759" i="4"/>
  <c r="R758" i="4"/>
  <c r="K758" i="4"/>
  <c r="R757" i="4"/>
  <c r="K757" i="4"/>
  <c r="R756" i="4"/>
  <c r="K756" i="4"/>
  <c r="R755" i="4"/>
  <c r="K755" i="4"/>
  <c r="R754" i="4"/>
  <c r="K754" i="4"/>
  <c r="R753" i="4"/>
  <c r="K753" i="4"/>
  <c r="R752" i="4"/>
  <c r="K752" i="4"/>
  <c r="R751" i="4"/>
  <c r="K751" i="4"/>
  <c r="R750" i="4"/>
  <c r="K750" i="4"/>
  <c r="R749" i="4"/>
  <c r="K749" i="4"/>
  <c r="R748" i="4"/>
  <c r="K748" i="4"/>
  <c r="R747" i="4"/>
  <c r="K747" i="4"/>
  <c r="R746" i="4"/>
  <c r="K746" i="4"/>
  <c r="R745" i="4"/>
  <c r="K745" i="4"/>
  <c r="R744" i="4"/>
  <c r="K744" i="4"/>
  <c r="R743" i="4"/>
  <c r="K743" i="4"/>
  <c r="R742" i="4"/>
  <c r="K742" i="4"/>
  <c r="R741" i="4"/>
  <c r="K741" i="4"/>
  <c r="R736" i="4"/>
  <c r="K736" i="4"/>
  <c r="R735" i="4"/>
  <c r="K735" i="4"/>
  <c r="R734" i="4"/>
  <c r="K734" i="4"/>
  <c r="R733" i="4"/>
  <c r="K733" i="4"/>
  <c r="R732" i="4"/>
  <c r="K732" i="4"/>
  <c r="R731" i="4"/>
  <c r="K731" i="4"/>
  <c r="R730" i="4"/>
  <c r="K730" i="4"/>
  <c r="R729" i="4"/>
  <c r="K729" i="4"/>
  <c r="R728" i="4"/>
  <c r="K728" i="4"/>
  <c r="R727" i="4"/>
  <c r="K727" i="4"/>
  <c r="R726" i="4"/>
  <c r="K726" i="4"/>
  <c r="R725" i="4"/>
  <c r="K725" i="4"/>
  <c r="R724" i="4"/>
  <c r="K724" i="4"/>
  <c r="R723" i="4"/>
  <c r="K723" i="4"/>
  <c r="R722" i="4"/>
  <c r="K722" i="4"/>
  <c r="R721" i="4"/>
  <c r="K721" i="4"/>
  <c r="R720" i="4"/>
  <c r="K720" i="4"/>
  <c r="R719" i="4"/>
  <c r="K719" i="4"/>
  <c r="R718" i="4"/>
  <c r="K718" i="4"/>
  <c r="R717" i="4"/>
  <c r="K717" i="4"/>
  <c r="R716" i="4"/>
  <c r="K716" i="4"/>
  <c r="R715" i="4"/>
  <c r="K715" i="4"/>
  <c r="R714" i="4"/>
  <c r="K714" i="4"/>
  <c r="R713" i="4"/>
  <c r="K713" i="4"/>
  <c r="R712" i="4"/>
  <c r="K712" i="4"/>
  <c r="R711" i="4"/>
  <c r="K711" i="4"/>
  <c r="R710" i="4"/>
  <c r="K710" i="4"/>
  <c r="R709" i="4"/>
  <c r="K709" i="4"/>
  <c r="R708" i="4"/>
  <c r="K708" i="4"/>
  <c r="R707" i="4"/>
  <c r="K707" i="4"/>
  <c r="R706" i="4"/>
  <c r="K706" i="4"/>
  <c r="R705" i="4"/>
  <c r="K705" i="4"/>
  <c r="R704" i="4"/>
  <c r="K704" i="4"/>
  <c r="R703" i="4"/>
  <c r="K703" i="4"/>
  <c r="R702" i="4"/>
  <c r="K702" i="4"/>
  <c r="R701" i="4"/>
  <c r="K701" i="4"/>
  <c r="R700" i="4"/>
  <c r="K700" i="4"/>
  <c r="R699" i="4"/>
  <c r="K699" i="4"/>
  <c r="R698" i="4"/>
  <c r="K698" i="4"/>
  <c r="R697" i="4"/>
  <c r="K697" i="4"/>
  <c r="R696" i="4"/>
  <c r="K696" i="4"/>
  <c r="R695" i="4"/>
  <c r="K695" i="4"/>
  <c r="R694" i="4"/>
  <c r="K694" i="4"/>
  <c r="R693" i="4"/>
  <c r="K693" i="4"/>
  <c r="R692" i="4"/>
  <c r="K692" i="4"/>
  <c r="R691" i="4"/>
  <c r="K691" i="4"/>
  <c r="R690" i="4"/>
  <c r="K690" i="4"/>
  <c r="R689" i="4"/>
  <c r="K689" i="4"/>
  <c r="R683" i="4"/>
  <c r="K683" i="4"/>
  <c r="R682" i="4"/>
  <c r="K682" i="4"/>
  <c r="R681" i="4"/>
  <c r="K681" i="4"/>
  <c r="R680" i="4"/>
  <c r="K680" i="4"/>
  <c r="R679" i="4"/>
  <c r="K679" i="4"/>
  <c r="R678" i="4"/>
  <c r="K678" i="4"/>
  <c r="R677" i="4"/>
  <c r="K677" i="4"/>
  <c r="R676" i="4"/>
  <c r="K676" i="4"/>
  <c r="R675" i="4"/>
  <c r="K675" i="4"/>
  <c r="R674" i="4"/>
  <c r="K674" i="4"/>
  <c r="R673" i="4"/>
  <c r="K673" i="4"/>
  <c r="R672" i="4"/>
  <c r="K672" i="4"/>
  <c r="R671" i="4"/>
  <c r="K671" i="4"/>
  <c r="R670" i="4"/>
  <c r="K670" i="4"/>
  <c r="R669" i="4"/>
  <c r="K669" i="4"/>
  <c r="R668" i="4"/>
  <c r="K668" i="4"/>
  <c r="R667" i="4"/>
  <c r="K667" i="4"/>
  <c r="R666" i="4"/>
  <c r="K666" i="4"/>
  <c r="R665" i="4"/>
  <c r="K665" i="4"/>
  <c r="R664" i="4"/>
  <c r="K664" i="4"/>
  <c r="R663" i="4"/>
  <c r="K663" i="4"/>
  <c r="R662" i="4"/>
  <c r="K662" i="4"/>
  <c r="R661" i="4"/>
  <c r="K661" i="4"/>
  <c r="R660" i="4"/>
  <c r="K660" i="4"/>
  <c r="R659" i="4"/>
  <c r="K659" i="4"/>
  <c r="R658" i="4"/>
  <c r="K658" i="4"/>
  <c r="R657" i="4"/>
  <c r="K657" i="4"/>
  <c r="R656" i="4"/>
  <c r="K656" i="4"/>
  <c r="R655" i="4"/>
  <c r="K655" i="4"/>
  <c r="R654" i="4"/>
  <c r="K654" i="4"/>
  <c r="R653" i="4"/>
  <c r="K653" i="4"/>
  <c r="R652" i="4"/>
  <c r="K652" i="4"/>
  <c r="R651" i="4"/>
  <c r="K651" i="4"/>
  <c r="R650" i="4"/>
  <c r="K650" i="4"/>
  <c r="R649" i="4"/>
  <c r="K649" i="4"/>
  <c r="R648" i="4"/>
  <c r="K648" i="4"/>
  <c r="R647" i="4"/>
  <c r="K647" i="4"/>
  <c r="R646" i="4"/>
  <c r="K646" i="4"/>
  <c r="R645" i="4"/>
  <c r="K645" i="4"/>
  <c r="R644" i="4"/>
  <c r="K644" i="4"/>
  <c r="R643" i="4"/>
  <c r="K643" i="4"/>
  <c r="R642" i="4"/>
  <c r="K642" i="4"/>
  <c r="R641" i="4"/>
  <c r="K641" i="4"/>
  <c r="R640" i="4"/>
  <c r="K640" i="4"/>
  <c r="R639" i="4"/>
  <c r="K639" i="4"/>
  <c r="R638" i="4"/>
  <c r="K638" i="4"/>
  <c r="R637" i="4"/>
  <c r="K637" i="4"/>
  <c r="R636" i="4"/>
  <c r="K636" i="4"/>
  <c r="R635" i="4"/>
  <c r="K635" i="4"/>
  <c r="R634" i="4"/>
  <c r="K634" i="4"/>
  <c r="R633" i="4"/>
  <c r="K633" i="4"/>
  <c r="R632" i="4"/>
  <c r="K632" i="4"/>
  <c r="R631" i="4"/>
  <c r="K631" i="4"/>
  <c r="R630" i="4"/>
  <c r="K630" i="4"/>
  <c r="R629" i="4"/>
  <c r="K629" i="4"/>
  <c r="R628" i="4"/>
  <c r="K628" i="4"/>
  <c r="R627" i="4"/>
  <c r="K627" i="4"/>
  <c r="R626" i="4"/>
  <c r="K626" i="4"/>
  <c r="R625" i="4"/>
  <c r="K625" i="4"/>
  <c r="R624" i="4"/>
  <c r="K624" i="4"/>
  <c r="R623" i="4"/>
  <c r="K623" i="4"/>
  <c r="R622" i="4"/>
  <c r="K622" i="4"/>
  <c r="R621" i="4"/>
  <c r="K621" i="4"/>
  <c r="R620" i="4"/>
  <c r="K620" i="4"/>
  <c r="R619" i="4"/>
  <c r="K619" i="4"/>
  <c r="R618" i="4"/>
  <c r="K618" i="4"/>
  <c r="R617" i="4"/>
  <c r="K617" i="4"/>
  <c r="R616" i="4"/>
  <c r="K616" i="4"/>
  <c r="R615" i="4"/>
  <c r="K615" i="4"/>
  <c r="R614" i="4"/>
  <c r="K614" i="4"/>
  <c r="R613" i="4"/>
  <c r="K613" i="4"/>
  <c r="R612" i="4"/>
  <c r="K612" i="4"/>
  <c r="R611" i="4"/>
  <c r="K611" i="4"/>
  <c r="R610" i="4"/>
  <c r="K610" i="4"/>
  <c r="R609" i="4"/>
  <c r="K609" i="4"/>
  <c r="R608" i="4"/>
  <c r="K608" i="4"/>
  <c r="R607" i="4"/>
  <c r="K607" i="4"/>
  <c r="R606" i="4"/>
  <c r="K606" i="4"/>
  <c r="R605" i="4"/>
  <c r="K605" i="4"/>
  <c r="R604" i="4"/>
  <c r="K604" i="4"/>
  <c r="R603" i="4"/>
  <c r="K603" i="4"/>
  <c r="R602" i="4"/>
  <c r="K602" i="4"/>
  <c r="R601" i="4"/>
  <c r="K601" i="4"/>
  <c r="R600" i="4"/>
  <c r="K600" i="4"/>
  <c r="R599" i="4"/>
  <c r="K599" i="4"/>
  <c r="R598" i="4"/>
  <c r="K598" i="4"/>
  <c r="R597" i="4"/>
  <c r="K597" i="4"/>
  <c r="R596" i="4"/>
  <c r="K596" i="4"/>
  <c r="R595" i="4"/>
  <c r="K595" i="4"/>
  <c r="R594" i="4"/>
  <c r="K594" i="4"/>
  <c r="R593" i="4"/>
  <c r="K593" i="4"/>
  <c r="R592" i="4"/>
  <c r="K592" i="4"/>
  <c r="R591" i="4"/>
  <c r="K591" i="4"/>
  <c r="R590" i="4"/>
  <c r="K590" i="4"/>
  <c r="R589" i="4"/>
  <c r="K589" i="4"/>
  <c r="R588" i="4"/>
  <c r="K588" i="4"/>
  <c r="R587" i="4"/>
  <c r="K587" i="4"/>
  <c r="R586" i="4"/>
  <c r="K586" i="4"/>
  <c r="R585" i="4"/>
  <c r="K585" i="4"/>
  <c r="R584" i="4"/>
  <c r="K584" i="4"/>
  <c r="R583" i="4"/>
  <c r="K583" i="4"/>
  <c r="R582" i="4"/>
  <c r="K582" i="4"/>
  <c r="R581" i="4"/>
  <c r="K581" i="4"/>
  <c r="R580" i="4"/>
  <c r="K580" i="4"/>
  <c r="R579" i="4"/>
  <c r="K579" i="4"/>
  <c r="R578" i="4"/>
  <c r="K578" i="4"/>
  <c r="R577" i="4"/>
  <c r="K577" i="4"/>
  <c r="R576" i="4"/>
  <c r="K576" i="4"/>
  <c r="R575" i="4"/>
  <c r="K575" i="4"/>
  <c r="R574" i="4"/>
  <c r="K574" i="4"/>
  <c r="R573" i="4"/>
  <c r="K573" i="4"/>
  <c r="R572" i="4"/>
  <c r="K572" i="4"/>
  <c r="R571" i="4"/>
  <c r="K571" i="4"/>
  <c r="R570" i="4"/>
  <c r="K570" i="4"/>
  <c r="R569" i="4"/>
  <c r="K569" i="4"/>
  <c r="R568" i="4"/>
  <c r="K568" i="4"/>
  <c r="R567" i="4"/>
  <c r="K567" i="4"/>
  <c r="R566" i="4"/>
  <c r="K566" i="4"/>
  <c r="R565" i="4"/>
  <c r="K565" i="4"/>
  <c r="R564" i="4"/>
  <c r="K564" i="4"/>
  <c r="R563" i="4"/>
  <c r="K563" i="4"/>
  <c r="R562" i="4"/>
  <c r="K562" i="4"/>
  <c r="R561" i="4"/>
  <c r="K561" i="4"/>
  <c r="R560" i="4"/>
  <c r="K560" i="4"/>
  <c r="R559" i="4"/>
  <c r="K559" i="4"/>
  <c r="R558" i="4"/>
  <c r="K558" i="4"/>
  <c r="R557" i="4"/>
  <c r="K557" i="4"/>
  <c r="R556" i="4"/>
  <c r="K556" i="4"/>
  <c r="R555" i="4"/>
  <c r="K555" i="4"/>
  <c r="R554" i="4"/>
  <c r="K554" i="4"/>
  <c r="R553" i="4"/>
  <c r="K553" i="4"/>
  <c r="R552" i="4"/>
  <c r="K552" i="4"/>
  <c r="R551" i="4"/>
  <c r="K551" i="4"/>
  <c r="R550" i="4"/>
  <c r="K550" i="4"/>
  <c r="R549" i="4"/>
  <c r="K549" i="4"/>
  <c r="R548" i="4"/>
  <c r="K548" i="4"/>
  <c r="R547" i="4"/>
  <c r="K547" i="4"/>
  <c r="R546" i="4"/>
  <c r="K546" i="4"/>
  <c r="R545" i="4"/>
  <c r="K545" i="4"/>
  <c r="R544" i="4"/>
  <c r="K544" i="4"/>
  <c r="R543" i="4"/>
  <c r="K543" i="4"/>
  <c r="R542" i="4"/>
  <c r="K542" i="4"/>
  <c r="R541" i="4"/>
  <c r="K541" i="4"/>
  <c r="R540" i="4"/>
  <c r="K540" i="4"/>
  <c r="R539" i="4"/>
  <c r="K539" i="4"/>
  <c r="R538" i="4"/>
  <c r="K538" i="4"/>
  <c r="R537" i="4"/>
  <c r="K537" i="4"/>
  <c r="R536" i="4"/>
  <c r="K536" i="4"/>
  <c r="R535" i="4"/>
  <c r="K535" i="4"/>
  <c r="R534" i="4"/>
  <c r="K534" i="4"/>
  <c r="R533" i="4"/>
  <c r="K533" i="4"/>
  <c r="R532" i="4"/>
  <c r="K532" i="4"/>
  <c r="R531" i="4"/>
  <c r="K531" i="4"/>
  <c r="R530" i="4"/>
  <c r="K530" i="4"/>
  <c r="R529" i="4"/>
  <c r="K529" i="4"/>
  <c r="R528" i="4"/>
  <c r="K528" i="4"/>
  <c r="R527" i="4"/>
  <c r="K527" i="4"/>
  <c r="R526" i="4"/>
  <c r="K526" i="4"/>
  <c r="R525" i="4"/>
  <c r="K525" i="4"/>
  <c r="R524" i="4"/>
  <c r="K524" i="4"/>
  <c r="R523" i="4"/>
  <c r="K523" i="4"/>
  <c r="R522" i="4"/>
  <c r="K522" i="4"/>
  <c r="R521" i="4"/>
  <c r="K521" i="4"/>
  <c r="R520" i="4"/>
  <c r="K520" i="4"/>
  <c r="R519" i="4"/>
  <c r="K519" i="4"/>
  <c r="R518" i="4"/>
  <c r="K518" i="4"/>
  <c r="R517" i="4"/>
  <c r="K517" i="4"/>
  <c r="R516" i="4"/>
  <c r="K516" i="4"/>
  <c r="R515" i="4"/>
  <c r="K515" i="4"/>
  <c r="R514" i="4"/>
  <c r="K514" i="4"/>
  <c r="R513" i="4"/>
  <c r="K513" i="4"/>
  <c r="R512" i="4"/>
  <c r="K512" i="4"/>
  <c r="R511" i="4"/>
  <c r="K511" i="4"/>
  <c r="R510" i="4"/>
  <c r="K510" i="4"/>
  <c r="R509" i="4"/>
  <c r="K509" i="4"/>
  <c r="R508" i="4"/>
  <c r="K508" i="4"/>
  <c r="R507" i="4"/>
  <c r="K507" i="4"/>
  <c r="R506" i="4"/>
  <c r="K506" i="4"/>
  <c r="R505" i="4"/>
  <c r="K505" i="4"/>
  <c r="R504" i="4"/>
  <c r="K504" i="4"/>
  <c r="R503" i="4"/>
  <c r="K503" i="4"/>
  <c r="R502" i="4"/>
  <c r="K502" i="4"/>
  <c r="R501" i="4"/>
  <c r="K501" i="4"/>
  <c r="R492" i="4"/>
  <c r="K492" i="4"/>
  <c r="R491" i="4"/>
  <c r="K491" i="4"/>
  <c r="R490" i="4"/>
  <c r="K490" i="4"/>
  <c r="R489" i="4"/>
  <c r="K489" i="4"/>
  <c r="R488" i="4"/>
  <c r="K488" i="4"/>
  <c r="R487" i="4"/>
  <c r="K487" i="4"/>
  <c r="R486" i="4"/>
  <c r="K486" i="4"/>
  <c r="R485" i="4"/>
  <c r="K485" i="4"/>
  <c r="R484" i="4"/>
  <c r="K484" i="4"/>
  <c r="R483" i="4"/>
  <c r="K483" i="4"/>
  <c r="R482" i="4"/>
  <c r="K482" i="4"/>
  <c r="R481" i="4"/>
  <c r="K481" i="4"/>
  <c r="R480" i="4"/>
  <c r="K480" i="4"/>
  <c r="R479" i="4"/>
  <c r="K479" i="4"/>
  <c r="R478" i="4"/>
  <c r="K478" i="4"/>
  <c r="R477" i="4"/>
  <c r="K477" i="4"/>
  <c r="R476" i="4"/>
  <c r="K476" i="4"/>
  <c r="R475" i="4"/>
  <c r="K475" i="4"/>
  <c r="R474" i="4"/>
  <c r="K474" i="4"/>
  <c r="R473" i="4"/>
  <c r="K473" i="4"/>
  <c r="R472" i="4"/>
  <c r="K472" i="4"/>
  <c r="R471" i="4"/>
  <c r="K471" i="4"/>
  <c r="R470" i="4"/>
  <c r="K470" i="4"/>
  <c r="R469" i="4"/>
  <c r="K469" i="4"/>
  <c r="R468" i="4"/>
  <c r="K468" i="4"/>
  <c r="R467" i="4"/>
  <c r="K467" i="4"/>
  <c r="R466" i="4"/>
  <c r="K466" i="4"/>
  <c r="R465" i="4"/>
  <c r="K465" i="4"/>
  <c r="R464" i="4"/>
  <c r="K464" i="4"/>
  <c r="R463" i="4"/>
  <c r="K463" i="4"/>
  <c r="R462" i="4"/>
  <c r="K462" i="4"/>
  <c r="R461" i="4"/>
  <c r="K461" i="4"/>
  <c r="R460" i="4"/>
  <c r="K460" i="4"/>
  <c r="R459" i="4"/>
  <c r="K459" i="4"/>
  <c r="R458" i="4"/>
  <c r="K458" i="4"/>
  <c r="R457" i="4"/>
  <c r="K457" i="4"/>
  <c r="R456" i="4"/>
  <c r="K456" i="4"/>
  <c r="R455" i="4"/>
  <c r="K455" i="4"/>
  <c r="R454" i="4"/>
  <c r="K454" i="4"/>
  <c r="R453" i="4"/>
  <c r="K453" i="4"/>
  <c r="R452" i="4"/>
  <c r="K452" i="4"/>
  <c r="R451" i="4"/>
  <c r="K451" i="4"/>
  <c r="R450" i="4"/>
  <c r="K450" i="4"/>
  <c r="R449" i="4"/>
  <c r="K449" i="4"/>
  <c r="R448" i="4"/>
  <c r="K448" i="4"/>
  <c r="R447" i="4"/>
  <c r="K447" i="4"/>
  <c r="R446" i="4"/>
  <c r="K446" i="4"/>
  <c r="R445" i="4"/>
  <c r="K445" i="4"/>
  <c r="R444" i="4"/>
  <c r="K444" i="4"/>
  <c r="R443" i="4"/>
  <c r="K443" i="4"/>
  <c r="R442" i="4"/>
  <c r="K442" i="4"/>
  <c r="R441" i="4"/>
  <c r="K441" i="4"/>
  <c r="R440" i="4"/>
  <c r="K440" i="4"/>
  <c r="R439" i="4"/>
  <c r="K439" i="4"/>
  <c r="R438" i="4"/>
  <c r="K438" i="4"/>
  <c r="R437" i="4"/>
  <c r="K437" i="4"/>
  <c r="R436" i="4"/>
  <c r="K436" i="4"/>
  <c r="R435" i="4"/>
  <c r="K435" i="4"/>
  <c r="R434" i="4"/>
  <c r="K434" i="4"/>
  <c r="R433" i="4"/>
  <c r="K433" i="4"/>
  <c r="R432" i="4"/>
  <c r="K432" i="4"/>
  <c r="R431" i="4"/>
  <c r="K431" i="4"/>
  <c r="R430" i="4"/>
  <c r="K430" i="4"/>
  <c r="R429" i="4"/>
  <c r="K429" i="4"/>
  <c r="R428" i="4"/>
  <c r="K428" i="4"/>
  <c r="R427" i="4"/>
  <c r="K427" i="4"/>
  <c r="R426" i="4"/>
  <c r="K426" i="4"/>
  <c r="R425" i="4"/>
  <c r="K425" i="4"/>
  <c r="R424" i="4"/>
  <c r="K424" i="4"/>
  <c r="R423" i="4"/>
  <c r="K423" i="4"/>
  <c r="R422" i="4"/>
  <c r="K422" i="4"/>
  <c r="R421" i="4"/>
  <c r="K421" i="4"/>
  <c r="R420" i="4"/>
  <c r="K420" i="4"/>
  <c r="R419" i="4"/>
  <c r="K419" i="4"/>
  <c r="R418" i="4"/>
  <c r="K418" i="4"/>
  <c r="R417" i="4"/>
  <c r="K417" i="4"/>
  <c r="R416" i="4"/>
  <c r="K416" i="4"/>
  <c r="R415" i="4"/>
  <c r="K415" i="4"/>
  <c r="R414" i="4"/>
  <c r="K414" i="4"/>
  <c r="R413" i="4"/>
  <c r="K413" i="4"/>
  <c r="R412" i="4"/>
  <c r="K412" i="4"/>
  <c r="R411" i="4"/>
  <c r="K411" i="4"/>
  <c r="R410" i="4"/>
  <c r="K410" i="4"/>
  <c r="R409" i="4"/>
  <c r="K409" i="4"/>
  <c r="R408" i="4"/>
  <c r="K408" i="4"/>
  <c r="R407" i="4"/>
  <c r="K407" i="4"/>
  <c r="R406" i="4"/>
  <c r="K406" i="4"/>
  <c r="R405" i="4"/>
  <c r="K405" i="4"/>
  <c r="R404" i="4"/>
  <c r="K404" i="4"/>
  <c r="R403" i="4"/>
  <c r="K403" i="4"/>
  <c r="R402" i="4"/>
  <c r="K402" i="4"/>
  <c r="R401" i="4"/>
  <c r="K401" i="4"/>
  <c r="R400" i="4"/>
  <c r="K400" i="4"/>
  <c r="R399" i="4"/>
  <c r="K399" i="4"/>
  <c r="R398" i="4"/>
  <c r="K398" i="4"/>
  <c r="R397" i="4"/>
  <c r="K397" i="4"/>
  <c r="R396" i="4"/>
  <c r="K396" i="4"/>
  <c r="R395" i="4"/>
  <c r="K395" i="4"/>
  <c r="R394" i="4"/>
  <c r="K394" i="4"/>
  <c r="R393" i="4"/>
  <c r="K393" i="4"/>
  <c r="R392" i="4"/>
  <c r="K392" i="4"/>
  <c r="R391" i="4"/>
  <c r="K391" i="4"/>
  <c r="R390" i="4"/>
  <c r="K390" i="4"/>
  <c r="R389" i="4"/>
  <c r="K389" i="4"/>
  <c r="R388" i="4"/>
  <c r="K388" i="4"/>
  <c r="R387" i="4"/>
  <c r="K387" i="4"/>
  <c r="R386" i="4"/>
  <c r="K386" i="4"/>
  <c r="R385" i="4"/>
  <c r="K385" i="4"/>
  <c r="R384" i="4"/>
  <c r="K384" i="4"/>
  <c r="R383" i="4"/>
  <c r="K383" i="4"/>
  <c r="R382" i="4"/>
  <c r="K382" i="4"/>
  <c r="R381" i="4"/>
  <c r="K381" i="4"/>
  <c r="R380" i="4"/>
  <c r="K380" i="4"/>
  <c r="R379" i="4"/>
  <c r="K379" i="4"/>
  <c r="R378" i="4"/>
  <c r="K378" i="4"/>
  <c r="R377" i="4"/>
  <c r="K377" i="4"/>
  <c r="R376" i="4"/>
  <c r="K376" i="4"/>
  <c r="R375" i="4"/>
  <c r="K375" i="4"/>
  <c r="R374" i="4"/>
  <c r="K374" i="4"/>
  <c r="R373" i="4"/>
  <c r="K373" i="4"/>
  <c r="R372" i="4"/>
  <c r="K372" i="4"/>
  <c r="R371" i="4"/>
  <c r="K371" i="4"/>
  <c r="R370" i="4"/>
  <c r="K370" i="4"/>
  <c r="R369" i="4"/>
  <c r="K369" i="4"/>
  <c r="R368" i="4"/>
  <c r="K368" i="4"/>
  <c r="R367" i="4"/>
  <c r="K367" i="4"/>
  <c r="R366" i="4"/>
  <c r="K366" i="4"/>
  <c r="R365" i="4"/>
  <c r="K365" i="4"/>
  <c r="R364" i="4"/>
  <c r="K364" i="4"/>
  <c r="R363" i="4"/>
  <c r="K363" i="4"/>
  <c r="R362" i="4"/>
  <c r="K362" i="4"/>
  <c r="R361" i="4"/>
  <c r="K361" i="4"/>
  <c r="R360" i="4"/>
  <c r="K360" i="4"/>
  <c r="R359" i="4"/>
  <c r="K359" i="4"/>
  <c r="R358" i="4"/>
  <c r="K358" i="4"/>
  <c r="R357" i="4"/>
  <c r="K357" i="4"/>
  <c r="R356" i="4"/>
  <c r="K356" i="4"/>
  <c r="R355" i="4"/>
  <c r="K355" i="4"/>
  <c r="R354" i="4"/>
  <c r="K354" i="4"/>
  <c r="R353" i="4"/>
  <c r="K353" i="4"/>
  <c r="R352" i="4"/>
  <c r="K352" i="4"/>
  <c r="R351" i="4"/>
  <c r="K351" i="4"/>
  <c r="R350" i="4"/>
  <c r="K350" i="4"/>
  <c r="R349" i="4"/>
  <c r="K349" i="4"/>
  <c r="R348" i="4"/>
  <c r="K348" i="4"/>
  <c r="R347" i="4"/>
  <c r="K347" i="4"/>
  <c r="R346" i="4"/>
  <c r="K346" i="4"/>
  <c r="R345" i="4"/>
  <c r="K345" i="4"/>
  <c r="R344" i="4"/>
  <c r="K344" i="4"/>
  <c r="R343" i="4"/>
  <c r="K343" i="4"/>
  <c r="R342" i="4"/>
  <c r="K342" i="4"/>
  <c r="R341" i="4"/>
  <c r="K341" i="4"/>
  <c r="R340" i="4"/>
  <c r="K340" i="4"/>
  <c r="R339" i="4"/>
  <c r="K339" i="4"/>
  <c r="R338" i="4"/>
  <c r="K338" i="4"/>
  <c r="R337" i="4"/>
  <c r="K337" i="4"/>
  <c r="R336" i="4"/>
  <c r="K336" i="4"/>
  <c r="R335" i="4"/>
  <c r="K335" i="4"/>
  <c r="R334" i="4"/>
  <c r="K334" i="4"/>
  <c r="R333" i="4"/>
  <c r="K333" i="4"/>
  <c r="R332" i="4"/>
  <c r="K332" i="4"/>
  <c r="R331" i="4"/>
  <c r="K331" i="4"/>
  <c r="R330" i="4"/>
  <c r="K330" i="4"/>
  <c r="R329" i="4"/>
  <c r="K329" i="4"/>
  <c r="R328" i="4"/>
  <c r="K328" i="4"/>
  <c r="R327" i="4"/>
  <c r="K327" i="4"/>
  <c r="R326" i="4"/>
  <c r="K326" i="4"/>
  <c r="R325" i="4"/>
  <c r="K325" i="4"/>
  <c r="R324" i="4"/>
  <c r="K324" i="4"/>
  <c r="R323" i="4"/>
  <c r="K323" i="4"/>
  <c r="R322" i="4"/>
  <c r="K322" i="4"/>
  <c r="R321" i="4"/>
  <c r="K321" i="4"/>
  <c r="R320" i="4"/>
  <c r="K320" i="4"/>
  <c r="R319" i="4"/>
  <c r="K319" i="4"/>
  <c r="R318" i="4"/>
  <c r="K318" i="4"/>
  <c r="R317" i="4"/>
  <c r="K317" i="4"/>
  <c r="R316" i="4"/>
  <c r="K316" i="4"/>
  <c r="R315" i="4"/>
  <c r="K315" i="4"/>
  <c r="R314" i="4"/>
  <c r="K314" i="4"/>
  <c r="R311" i="4"/>
  <c r="K311" i="4"/>
  <c r="R310" i="4"/>
  <c r="K310" i="4"/>
  <c r="R309" i="4"/>
  <c r="K309" i="4"/>
  <c r="R308" i="4"/>
  <c r="K308" i="4"/>
  <c r="R307" i="4"/>
  <c r="K307" i="4"/>
  <c r="R306" i="4"/>
  <c r="K306" i="4"/>
  <c r="R305" i="4"/>
  <c r="K305" i="4"/>
  <c r="R304" i="4"/>
  <c r="K304" i="4"/>
  <c r="R303" i="4"/>
  <c r="K303" i="4"/>
  <c r="R302" i="4"/>
  <c r="K302" i="4"/>
  <c r="R301" i="4"/>
  <c r="K301" i="4"/>
  <c r="R300" i="4"/>
  <c r="K300" i="4"/>
  <c r="R299" i="4"/>
  <c r="K299" i="4"/>
  <c r="R298" i="4"/>
  <c r="K298" i="4"/>
  <c r="R297" i="4"/>
  <c r="K297" i="4"/>
  <c r="R296" i="4"/>
  <c r="K296" i="4"/>
  <c r="R295" i="4"/>
  <c r="K295" i="4"/>
  <c r="R294" i="4"/>
  <c r="K294" i="4"/>
  <c r="R293" i="4"/>
  <c r="K293" i="4"/>
  <c r="R292" i="4"/>
  <c r="K292" i="4"/>
  <c r="R291" i="4"/>
  <c r="K291" i="4"/>
  <c r="R290" i="4"/>
  <c r="K290" i="4"/>
  <c r="R289" i="4"/>
  <c r="K289" i="4"/>
  <c r="R288" i="4"/>
  <c r="K288" i="4"/>
  <c r="R287" i="4"/>
  <c r="K287" i="4"/>
  <c r="R286" i="4"/>
  <c r="K286" i="4"/>
  <c r="R285" i="4"/>
  <c r="K285" i="4"/>
  <c r="R284" i="4"/>
  <c r="K284" i="4"/>
  <c r="R283" i="4"/>
  <c r="K283" i="4"/>
  <c r="R282" i="4"/>
  <c r="K282" i="4"/>
  <c r="R281" i="4"/>
  <c r="K281" i="4"/>
  <c r="R280" i="4"/>
  <c r="K280" i="4"/>
  <c r="R279" i="4"/>
  <c r="K279" i="4"/>
  <c r="R278" i="4"/>
  <c r="K278" i="4"/>
  <c r="R277" i="4"/>
  <c r="K277" i="4"/>
  <c r="R276" i="4"/>
  <c r="K276" i="4"/>
  <c r="R275" i="4"/>
  <c r="K275" i="4"/>
  <c r="R274" i="4"/>
  <c r="K274" i="4"/>
  <c r="R273" i="4"/>
  <c r="K273" i="4"/>
  <c r="R272" i="4"/>
  <c r="K272" i="4"/>
  <c r="R271" i="4"/>
  <c r="K271" i="4"/>
  <c r="R270" i="4"/>
  <c r="K270" i="4"/>
  <c r="R269" i="4"/>
  <c r="K269" i="4"/>
  <c r="R268" i="4"/>
  <c r="K268" i="4"/>
  <c r="R267" i="4"/>
  <c r="K267" i="4"/>
  <c r="R266" i="4"/>
  <c r="K266" i="4"/>
  <c r="R265" i="4"/>
  <c r="K265" i="4"/>
  <c r="R264" i="4"/>
  <c r="K264" i="4"/>
  <c r="R263" i="4"/>
  <c r="K263" i="4"/>
  <c r="R262" i="4"/>
  <c r="K262" i="4"/>
  <c r="R261" i="4"/>
  <c r="K261" i="4"/>
  <c r="R260" i="4"/>
  <c r="K260" i="4"/>
  <c r="R259" i="4"/>
  <c r="K259" i="4"/>
  <c r="R258" i="4"/>
  <c r="K258" i="4"/>
  <c r="R257" i="4"/>
  <c r="K257" i="4"/>
  <c r="R256" i="4"/>
  <c r="K256" i="4"/>
  <c r="R255" i="4"/>
  <c r="K255" i="4"/>
  <c r="R254" i="4"/>
  <c r="K254" i="4"/>
  <c r="R253" i="4"/>
  <c r="K253" i="4"/>
  <c r="R252" i="4"/>
  <c r="K252" i="4"/>
  <c r="R251" i="4"/>
  <c r="K251" i="4"/>
  <c r="R250" i="4"/>
  <c r="K250" i="4"/>
  <c r="R249" i="4"/>
  <c r="K249" i="4"/>
  <c r="R248" i="4"/>
  <c r="K248" i="4"/>
  <c r="R247" i="4"/>
  <c r="K247" i="4"/>
  <c r="R246" i="4"/>
  <c r="K246" i="4"/>
  <c r="R245" i="4"/>
  <c r="K245" i="4"/>
  <c r="R244" i="4"/>
  <c r="K244" i="4"/>
  <c r="R243" i="4"/>
  <c r="K243" i="4"/>
  <c r="R242" i="4"/>
  <c r="K242" i="4"/>
  <c r="R241" i="4"/>
  <c r="K241" i="4"/>
  <c r="R240" i="4"/>
  <c r="K240" i="4"/>
  <c r="R239" i="4"/>
  <c r="K239" i="4"/>
  <c r="R238" i="4"/>
  <c r="K238" i="4"/>
  <c r="R237" i="4"/>
  <c r="K237" i="4"/>
  <c r="R236" i="4"/>
  <c r="K236" i="4"/>
  <c r="R235" i="4"/>
  <c r="K235" i="4"/>
  <c r="R234" i="4"/>
  <c r="K234" i="4"/>
  <c r="R233" i="4"/>
  <c r="K233" i="4"/>
  <c r="R232" i="4"/>
  <c r="K232" i="4"/>
  <c r="R219" i="4"/>
  <c r="K219" i="4"/>
  <c r="R218" i="4"/>
  <c r="K218" i="4"/>
  <c r="R814" i="4"/>
  <c r="K814" i="4"/>
  <c r="R813" i="4"/>
  <c r="K813" i="4"/>
  <c r="R807" i="4"/>
  <c r="K807" i="4"/>
  <c r="R806" i="4"/>
  <c r="K806" i="4"/>
  <c r="R805" i="4"/>
  <c r="K805" i="4"/>
  <c r="R804" i="4"/>
  <c r="K804" i="4"/>
  <c r="R798" i="4"/>
  <c r="K798" i="4"/>
  <c r="R797" i="4"/>
  <c r="K797" i="4"/>
  <c r="R796" i="4"/>
  <c r="K796" i="4"/>
  <c r="R795" i="4"/>
  <c r="K795" i="4"/>
  <c r="R803" i="4"/>
  <c r="K803" i="4"/>
  <c r="R802" i="4"/>
  <c r="K802" i="4"/>
  <c r="R794" i="4"/>
  <c r="K794" i="4"/>
  <c r="R793" i="4"/>
  <c r="K793" i="4"/>
  <c r="R2810" i="4"/>
  <c r="K2810" i="4"/>
  <c r="R2809" i="4"/>
  <c r="K2809" i="4"/>
  <c r="R2808" i="4"/>
  <c r="K2808" i="4"/>
  <c r="R2807" i="4"/>
  <c r="K2807" i="4"/>
  <c r="R2572" i="4"/>
  <c r="K2572" i="4"/>
  <c r="R2571" i="4"/>
  <c r="K2571" i="4"/>
  <c r="R2570" i="4"/>
  <c r="K2570" i="4"/>
  <c r="R2569" i="4"/>
  <c r="K2569" i="4"/>
  <c r="R2419" i="4"/>
  <c r="K2419" i="4"/>
  <c r="R2418" i="4"/>
  <c r="K2418" i="4"/>
  <c r="R2417" i="4"/>
  <c r="K2417" i="4"/>
  <c r="R2416" i="4"/>
  <c r="K2416" i="4"/>
  <c r="R2415" i="4"/>
  <c r="K2415" i="4"/>
  <c r="R2414" i="4"/>
  <c r="K2414" i="4"/>
  <c r="R1987" i="4"/>
  <c r="K1987" i="4"/>
  <c r="R1201" i="4"/>
  <c r="K1201" i="4"/>
  <c r="R1200" i="4"/>
  <c r="K1200" i="4"/>
  <c r="R1199" i="4"/>
  <c r="K1199" i="4"/>
  <c r="R2806" i="4"/>
  <c r="K2806" i="4"/>
  <c r="R2805" i="4"/>
  <c r="K2805" i="4"/>
  <c r="R2804" i="4"/>
  <c r="K2804" i="4"/>
  <c r="R2803" i="4"/>
  <c r="K2803" i="4"/>
  <c r="R2802" i="4"/>
  <c r="K2802" i="4"/>
  <c r="R2801" i="4"/>
  <c r="K2801" i="4"/>
  <c r="R2800" i="4"/>
  <c r="K2800" i="4"/>
  <c r="R2799" i="4"/>
  <c r="K2799" i="4"/>
  <c r="R2798" i="4"/>
  <c r="K2798" i="4"/>
  <c r="R2797" i="4"/>
  <c r="K2797" i="4"/>
  <c r="R2796" i="4"/>
  <c r="K2796" i="4"/>
  <c r="R2795" i="4"/>
  <c r="K2795" i="4"/>
  <c r="R1630" i="4"/>
  <c r="K1630" i="4"/>
  <c r="R1629" i="4"/>
  <c r="K1629" i="4"/>
  <c r="R2794" i="4"/>
  <c r="K2794" i="4"/>
  <c r="R2793" i="4"/>
  <c r="K2793" i="4"/>
  <c r="R2792" i="4"/>
  <c r="K2792" i="4"/>
  <c r="R2791" i="4"/>
  <c r="K2791" i="4"/>
  <c r="R2790" i="4"/>
  <c r="K2790" i="4"/>
  <c r="R2789" i="4"/>
  <c r="K2789" i="4"/>
  <c r="R2788" i="4"/>
  <c r="K2788" i="4"/>
  <c r="R1445" i="4"/>
  <c r="K1445" i="4"/>
  <c r="R1324" i="4"/>
  <c r="K1324" i="4"/>
  <c r="R924" i="4"/>
  <c r="K924" i="4"/>
  <c r="R923" i="4"/>
  <c r="K923" i="4"/>
  <c r="R922" i="4"/>
  <c r="K922" i="4"/>
  <c r="R921" i="4"/>
  <c r="K921" i="4"/>
  <c r="R2787" i="4"/>
  <c r="K2787" i="4"/>
  <c r="R2786" i="4"/>
  <c r="K2786" i="4"/>
  <c r="R2785" i="4"/>
  <c r="K2785" i="4"/>
  <c r="R2784" i="4"/>
  <c r="K2784" i="4"/>
  <c r="R2783" i="4"/>
  <c r="K2783" i="4"/>
  <c r="R2782" i="4"/>
  <c r="K2782" i="4"/>
  <c r="R2781" i="4"/>
  <c r="K2781" i="4"/>
  <c r="R2780" i="4"/>
  <c r="K2780" i="4"/>
  <c r="R2779" i="4"/>
  <c r="K2779" i="4"/>
  <c r="R2778" i="4"/>
  <c r="K2778" i="4"/>
  <c r="R2777" i="4"/>
  <c r="K2777" i="4"/>
  <c r="R2776" i="4"/>
  <c r="K2776" i="4"/>
  <c r="R2176" i="4"/>
  <c r="K2176" i="4"/>
  <c r="R2175" i="4"/>
  <c r="K2175" i="4"/>
  <c r="R2174" i="4"/>
  <c r="K2174" i="4"/>
  <c r="R2173" i="4"/>
  <c r="K2173" i="4"/>
  <c r="R2172" i="4"/>
  <c r="K2172" i="4"/>
  <c r="R1158" i="4"/>
  <c r="K1158" i="4"/>
  <c r="R1157" i="4"/>
  <c r="K1157" i="4"/>
  <c r="R1156" i="4"/>
  <c r="K1156" i="4"/>
  <c r="R2775" i="4"/>
  <c r="K2775" i="4"/>
  <c r="R2774" i="4"/>
  <c r="K2774" i="4"/>
  <c r="R2773" i="4"/>
  <c r="K2773" i="4"/>
  <c r="R2772" i="4"/>
  <c r="K2772" i="4"/>
  <c r="R2228" i="4"/>
  <c r="K2228" i="4"/>
  <c r="R2227" i="4"/>
  <c r="K2227" i="4"/>
  <c r="R2226" i="4"/>
  <c r="K2226" i="4"/>
  <c r="R2225" i="4"/>
  <c r="K2225" i="4"/>
  <c r="R1990" i="4"/>
  <c r="K1990" i="4"/>
  <c r="R1989" i="4"/>
  <c r="K1989" i="4"/>
  <c r="R1988" i="4"/>
  <c r="K1988" i="4"/>
  <c r="R1730" i="4"/>
  <c r="K1730" i="4"/>
  <c r="R1729" i="4"/>
  <c r="K1729" i="4"/>
  <c r="R890" i="4"/>
  <c r="K890" i="4"/>
  <c r="R889" i="4"/>
  <c r="K889" i="4"/>
  <c r="R888" i="4"/>
  <c r="K888" i="4"/>
  <c r="R887" i="4"/>
  <c r="K887" i="4"/>
  <c r="R1581" i="4"/>
  <c r="K1581" i="4"/>
  <c r="R1580" i="4"/>
  <c r="K1580" i="4"/>
  <c r="R1579" i="4"/>
  <c r="K1579" i="4"/>
  <c r="R1578" i="4"/>
  <c r="K1578" i="4"/>
  <c r="R1555" i="4"/>
  <c r="K1555" i="4"/>
  <c r="R1554" i="4"/>
  <c r="K1554" i="4"/>
  <c r="R1553" i="4"/>
  <c r="K1553" i="4"/>
  <c r="R1089" i="4"/>
  <c r="K1089" i="4"/>
  <c r="R1088" i="4"/>
  <c r="K1088" i="4"/>
  <c r="R1087" i="4"/>
  <c r="K1087" i="4"/>
  <c r="R1086" i="4"/>
  <c r="K1086" i="4"/>
  <c r="R1085" i="4"/>
  <c r="K1085" i="4"/>
  <c r="R1084" i="4"/>
  <c r="K1084" i="4"/>
  <c r="R2771" i="4"/>
  <c r="K2771" i="4"/>
  <c r="R2770" i="4"/>
  <c r="K2770" i="4"/>
  <c r="R2769" i="4"/>
  <c r="K2769" i="4"/>
  <c r="R2768" i="4"/>
  <c r="K2768" i="4"/>
  <c r="R1686" i="4"/>
  <c r="K1686" i="4"/>
  <c r="R1685" i="4"/>
  <c r="K1685" i="4"/>
  <c r="R1684" i="4"/>
  <c r="K1684" i="4"/>
  <c r="R2224" i="4"/>
  <c r="K2224" i="4"/>
  <c r="R2223" i="4"/>
  <c r="K2223" i="4"/>
  <c r="R2222" i="4"/>
  <c r="K2222" i="4"/>
  <c r="R1682" i="4"/>
  <c r="K1682" i="4"/>
  <c r="R1681" i="4"/>
  <c r="K1681" i="4"/>
  <c r="R1680" i="4"/>
  <c r="K1680" i="4"/>
  <c r="R1679" i="4"/>
  <c r="K1679" i="4"/>
  <c r="R1678" i="4"/>
  <c r="K1678" i="4"/>
  <c r="R1677" i="4"/>
  <c r="K1677" i="4"/>
  <c r="R1676" i="4"/>
  <c r="K1676" i="4"/>
  <c r="R1083" i="4"/>
  <c r="K1083" i="4"/>
  <c r="R1082" i="4"/>
  <c r="K1082" i="4"/>
  <c r="R1081" i="4"/>
  <c r="K1081" i="4"/>
  <c r="R1080" i="4"/>
  <c r="K1080" i="4"/>
  <c r="R1079" i="4"/>
  <c r="K1079" i="4"/>
  <c r="R1078" i="4"/>
  <c r="K1078" i="4"/>
  <c r="R2767" i="4"/>
  <c r="K2767" i="4"/>
  <c r="R2766" i="4"/>
  <c r="K2766" i="4"/>
  <c r="R2765" i="4"/>
  <c r="K2765" i="4"/>
  <c r="R2764" i="4"/>
  <c r="K2764" i="4"/>
  <c r="R1472" i="4"/>
  <c r="K1472" i="4"/>
  <c r="R1473" i="4"/>
  <c r="K1473" i="4"/>
  <c r="R937" i="4"/>
  <c r="K937" i="4"/>
  <c r="R936" i="4"/>
  <c r="K936" i="4"/>
  <c r="R2763" i="4"/>
  <c r="K2763" i="4"/>
  <c r="R2762" i="4"/>
  <c r="K2762" i="4"/>
  <c r="R2761" i="4"/>
  <c r="K2761" i="4"/>
  <c r="R2760" i="4"/>
  <c r="K2760" i="4"/>
  <c r="R2743" i="4"/>
  <c r="K2743" i="4"/>
  <c r="R2742" i="4"/>
  <c r="K2742" i="4"/>
  <c r="R2741" i="4"/>
  <c r="K2741" i="4"/>
  <c r="R2740" i="4"/>
  <c r="K2740" i="4"/>
  <c r="R142" i="4"/>
  <c r="K142" i="4"/>
  <c r="R141" i="4"/>
  <c r="K141" i="4"/>
  <c r="R140" i="4"/>
  <c r="K140" i="4"/>
  <c r="R139" i="4"/>
  <c r="K139" i="4"/>
  <c r="R138" i="4"/>
  <c r="K138" i="4"/>
  <c r="R137" i="4"/>
  <c r="K137" i="4"/>
  <c r="R130" i="4"/>
  <c r="K130" i="4"/>
  <c r="R129" i="4"/>
  <c r="K129" i="4"/>
  <c r="R128" i="4"/>
  <c r="K128" i="4"/>
  <c r="R1912" i="4"/>
  <c r="K1912" i="4"/>
  <c r="R1911" i="4"/>
  <c r="K1911" i="4"/>
  <c r="R1910" i="4"/>
  <c r="K1910" i="4"/>
  <c r="R2413" i="4"/>
  <c r="K2413" i="4"/>
  <c r="R2412" i="4"/>
  <c r="K2412" i="4"/>
  <c r="R2411" i="4"/>
  <c r="K2411" i="4"/>
  <c r="R2410" i="4"/>
  <c r="K2410" i="4"/>
  <c r="R2409" i="4"/>
  <c r="K2409" i="4"/>
  <c r="R2400" i="4"/>
  <c r="K2400" i="4"/>
  <c r="R2399" i="4"/>
  <c r="K2399" i="4"/>
  <c r="R2398" i="4"/>
  <c r="K2398" i="4"/>
  <c r="R2397" i="4"/>
  <c r="K2397" i="4"/>
  <c r="R2396" i="4"/>
  <c r="K2396" i="4"/>
  <c r="R2395" i="4"/>
  <c r="K2395" i="4"/>
  <c r="R2243" i="4"/>
  <c r="K2243" i="4"/>
  <c r="R2242" i="4"/>
  <c r="K2242" i="4"/>
  <c r="R2209" i="4"/>
  <c r="K2209" i="4"/>
  <c r="R2208" i="4"/>
  <c r="K2208" i="4"/>
  <c r="R2207" i="4"/>
  <c r="K2207" i="4"/>
  <c r="R2206" i="4"/>
  <c r="K2206" i="4"/>
  <c r="R2205" i="4"/>
  <c r="K2205" i="4"/>
  <c r="R1657" i="4"/>
  <c r="K1657" i="4"/>
  <c r="R1656" i="4"/>
  <c r="K1656" i="4"/>
  <c r="R1650" i="4"/>
  <c r="K1650" i="4"/>
  <c r="R1610" i="4"/>
  <c r="K1610" i="4"/>
  <c r="R1609" i="4"/>
  <c r="K1609" i="4"/>
  <c r="R1608" i="4"/>
  <c r="K1608" i="4"/>
  <c r="R1607" i="4"/>
  <c r="K1607" i="4"/>
  <c r="R1606" i="4"/>
  <c r="K1606" i="4"/>
  <c r="R1605" i="4"/>
  <c r="K1605" i="4"/>
  <c r="R1604" i="4"/>
  <c r="K1604" i="4"/>
  <c r="R1603" i="4"/>
  <c r="K1603" i="4"/>
  <c r="R1531" i="4"/>
  <c r="K1531" i="4"/>
  <c r="R1530" i="4"/>
  <c r="K1530" i="4"/>
  <c r="R1529" i="4"/>
  <c r="K1529" i="4"/>
  <c r="R1339" i="4"/>
  <c r="K1339" i="4"/>
  <c r="R1338" i="4"/>
  <c r="K1338" i="4"/>
  <c r="R1337" i="4"/>
  <c r="K1337" i="4"/>
  <c r="R1336" i="4"/>
  <c r="K1336" i="4"/>
  <c r="R2539" i="4"/>
  <c r="K2539" i="4"/>
  <c r="R2538" i="4"/>
  <c r="K2538" i="4"/>
  <c r="R2537" i="4"/>
  <c r="K2537" i="4"/>
  <c r="R2536" i="4"/>
  <c r="K2536" i="4"/>
  <c r="R2535" i="4"/>
  <c r="K2535" i="4"/>
  <c r="R2534" i="4"/>
  <c r="K2534" i="4"/>
  <c r="R2533" i="4"/>
  <c r="K2533" i="4"/>
  <c r="R2204" i="4"/>
  <c r="K2204" i="4"/>
  <c r="R2203" i="4"/>
  <c r="K2203" i="4"/>
  <c r="R2202" i="4"/>
  <c r="K2202" i="4"/>
  <c r="R2201" i="4"/>
  <c r="K2201" i="4"/>
  <c r="R2200" i="4"/>
  <c r="K2200" i="4"/>
  <c r="R1714" i="4"/>
  <c r="K1714" i="4"/>
  <c r="R1713" i="4"/>
  <c r="K1713" i="4"/>
  <c r="R1712" i="4"/>
  <c r="K1712" i="4"/>
  <c r="R1711" i="4"/>
  <c r="K1711" i="4"/>
  <c r="R1710" i="4"/>
  <c r="K1710" i="4"/>
  <c r="R1709" i="4"/>
  <c r="K1709" i="4"/>
  <c r="R1708" i="4"/>
  <c r="K1708" i="4"/>
  <c r="R1721" i="4"/>
  <c r="K1721" i="4"/>
  <c r="R1720" i="4"/>
  <c r="K1720" i="4"/>
  <c r="R1719" i="4"/>
  <c r="K1719" i="4"/>
  <c r="R1718" i="4"/>
  <c r="K1718" i="4"/>
  <c r="R1717" i="4"/>
  <c r="K1717" i="4"/>
  <c r="R1716" i="4"/>
  <c r="K1716" i="4"/>
  <c r="R1715" i="4"/>
  <c r="K1715" i="4"/>
  <c r="R1666" i="4"/>
  <c r="K1666" i="4"/>
  <c r="R1665" i="4"/>
  <c r="K1665" i="4"/>
  <c r="R1664" i="4"/>
  <c r="K1664" i="4"/>
  <c r="R1663" i="4"/>
  <c r="K1663" i="4"/>
  <c r="R1662" i="4"/>
  <c r="K1662" i="4"/>
  <c r="R1039" i="4"/>
  <c r="K1039" i="4"/>
  <c r="R1038" i="4"/>
  <c r="K1038" i="4"/>
  <c r="R1037" i="4"/>
  <c r="K1037" i="4"/>
  <c r="R1036" i="4"/>
  <c r="K1036" i="4"/>
  <c r="R1035" i="4"/>
  <c r="K1035" i="4"/>
  <c r="R1034" i="4"/>
  <c r="K1034" i="4"/>
  <c r="R1000" i="4"/>
  <c r="K1000" i="4"/>
  <c r="R999" i="4"/>
  <c r="K999" i="4"/>
  <c r="R904" i="4"/>
  <c r="K904" i="4"/>
  <c r="R903" i="4"/>
  <c r="K903" i="4"/>
  <c r="R902" i="4"/>
  <c r="K902" i="4"/>
  <c r="R901" i="4"/>
  <c r="K901" i="4"/>
  <c r="R900" i="4"/>
  <c r="K900" i="4"/>
  <c r="R899" i="4"/>
  <c r="K899" i="4"/>
  <c r="R898" i="4"/>
  <c r="K898" i="4"/>
  <c r="R2759" i="4"/>
  <c r="K2759" i="4"/>
  <c r="R2758" i="4"/>
  <c r="K2758" i="4"/>
  <c r="R2757" i="4"/>
  <c r="K2757" i="4"/>
  <c r="R2756" i="4"/>
  <c r="K2756" i="4"/>
  <c r="R2755" i="4"/>
  <c r="K2755" i="4"/>
  <c r="R2754" i="4"/>
  <c r="K2754" i="4"/>
  <c r="R2753" i="4"/>
  <c r="K2753" i="4"/>
  <c r="R2752" i="4"/>
  <c r="K2752" i="4"/>
  <c r="R1301" i="4"/>
  <c r="K1301" i="4"/>
  <c r="R1300" i="4"/>
  <c r="K1300" i="4"/>
  <c r="R1299" i="4"/>
  <c r="K1299" i="4"/>
  <c r="R1298" i="4"/>
  <c r="K1298" i="4"/>
  <c r="R1297" i="4"/>
  <c r="K1297" i="4"/>
  <c r="R1296" i="4"/>
  <c r="K1296" i="4"/>
  <c r="R1295" i="4"/>
  <c r="K1295" i="4"/>
  <c r="R1294" i="4"/>
  <c r="K1294" i="4"/>
  <c r="R1293" i="4"/>
  <c r="K1293" i="4"/>
  <c r="R801" i="4"/>
  <c r="K801" i="4"/>
  <c r="R800" i="4"/>
  <c r="K800" i="4"/>
  <c r="R799" i="4"/>
  <c r="K799" i="4"/>
  <c r="R2255" i="4"/>
  <c r="K2255" i="4"/>
  <c r="R2254" i="4"/>
  <c r="K2254" i="4"/>
  <c r="R2253" i="4"/>
  <c r="K2253" i="4"/>
  <c r="R2252" i="4"/>
  <c r="K2252" i="4"/>
  <c r="R1964" i="4"/>
  <c r="K1964" i="4"/>
  <c r="R1963" i="4"/>
  <c r="K1963" i="4"/>
  <c r="R1962" i="4"/>
  <c r="K1962" i="4"/>
  <c r="R1924" i="4"/>
  <c r="K1924" i="4"/>
  <c r="R1923" i="4"/>
  <c r="K1923" i="4"/>
  <c r="R1922" i="4"/>
  <c r="K1922" i="4"/>
  <c r="R1693" i="4"/>
  <c r="K1693" i="4"/>
  <c r="R1692" i="4"/>
  <c r="K1692" i="4"/>
  <c r="R1691" i="4"/>
  <c r="K1691" i="4"/>
  <c r="R1346" i="4"/>
  <c r="K1346" i="4"/>
  <c r="R1345" i="4"/>
  <c r="K1345" i="4"/>
  <c r="R1344" i="4"/>
  <c r="K1344" i="4"/>
  <c r="R1343" i="4"/>
  <c r="K1343" i="4"/>
  <c r="R1342" i="4"/>
  <c r="K1342" i="4"/>
  <c r="R1030" i="4"/>
  <c r="K1030" i="4"/>
  <c r="R1029" i="4"/>
  <c r="K1029" i="4"/>
  <c r="R1028" i="4"/>
  <c r="K1028" i="4"/>
  <c r="R2481" i="4"/>
  <c r="K2481" i="4"/>
  <c r="R2480" i="4"/>
  <c r="K2480" i="4"/>
  <c r="R2479" i="4"/>
  <c r="K2479" i="4"/>
  <c r="R2478" i="4"/>
  <c r="K2478" i="4"/>
  <c r="R2477" i="4"/>
  <c r="K2477" i="4"/>
  <c r="R2476" i="4"/>
  <c r="K2476" i="4"/>
  <c r="R2475" i="4"/>
  <c r="K2475" i="4"/>
  <c r="R2276" i="4"/>
  <c r="K2276" i="4"/>
  <c r="R2275" i="4"/>
  <c r="K2275" i="4"/>
  <c r="R2274" i="4"/>
  <c r="K2274" i="4"/>
  <c r="R2273" i="4"/>
  <c r="K2273" i="4"/>
  <c r="R2272" i="4"/>
  <c r="K2272" i="4"/>
  <c r="R2271" i="4"/>
  <c r="K2271" i="4"/>
  <c r="R2270" i="4"/>
  <c r="K2270" i="4"/>
  <c r="R2025" i="4"/>
  <c r="K2025" i="4"/>
  <c r="R2024" i="4"/>
  <c r="K2024" i="4"/>
  <c r="R2023" i="4"/>
  <c r="K2023" i="4"/>
  <c r="R2022" i="4"/>
  <c r="K2022" i="4"/>
  <c r="R2021" i="4"/>
  <c r="K2021" i="4"/>
  <c r="R2020" i="4"/>
  <c r="K2020" i="4"/>
  <c r="R2019" i="4"/>
  <c r="K2019" i="4"/>
  <c r="R2018" i="4"/>
  <c r="K2018" i="4"/>
  <c r="R2017" i="4"/>
  <c r="K2017" i="4"/>
  <c r="R2016" i="4"/>
  <c r="K2016" i="4"/>
  <c r="R1996" i="4"/>
  <c r="K1996" i="4"/>
  <c r="R1995" i="4"/>
  <c r="K1995" i="4"/>
  <c r="R1994" i="4"/>
  <c r="K1994" i="4"/>
  <c r="R1993" i="4"/>
  <c r="K1993" i="4"/>
  <c r="R1992" i="4"/>
  <c r="K1992" i="4"/>
  <c r="R1991" i="4"/>
  <c r="K1991" i="4"/>
  <c r="R1976" i="4"/>
  <c r="K1976" i="4"/>
  <c r="R1975" i="4"/>
  <c r="K1975" i="4"/>
  <c r="R1974" i="4"/>
  <c r="K1974" i="4"/>
  <c r="R1973" i="4"/>
  <c r="K1973" i="4"/>
  <c r="R1972" i="4"/>
  <c r="K1972" i="4"/>
  <c r="R1971" i="4"/>
  <c r="K1971" i="4"/>
  <c r="R1556" i="4"/>
  <c r="K1556" i="4"/>
  <c r="R1452" i="4"/>
  <c r="K1452" i="4"/>
  <c r="R1451" i="4"/>
  <c r="K1451" i="4"/>
  <c r="R1450" i="4"/>
  <c r="K1450" i="4"/>
  <c r="R1449" i="4"/>
  <c r="K1449" i="4"/>
  <c r="R1448" i="4"/>
  <c r="K1448" i="4"/>
  <c r="R1447" i="4"/>
  <c r="K1447" i="4"/>
  <c r="R1331" i="4"/>
  <c r="K1331" i="4"/>
  <c r="R1330" i="4"/>
  <c r="K1330" i="4"/>
  <c r="R1329" i="4"/>
  <c r="K1329" i="4"/>
  <c r="R1328" i="4"/>
  <c r="K1328" i="4"/>
  <c r="R1327" i="4"/>
  <c r="K1327" i="4"/>
  <c r="R1326" i="4"/>
  <c r="K1326" i="4"/>
  <c r="R1325" i="4"/>
  <c r="K1325" i="4"/>
  <c r="R1312" i="4"/>
  <c r="K1312" i="4"/>
  <c r="R1311" i="4"/>
  <c r="K1311" i="4"/>
  <c r="R1310" i="4"/>
  <c r="K1310" i="4"/>
  <c r="R1309" i="4"/>
  <c r="K1309" i="4"/>
  <c r="R1308" i="4"/>
  <c r="K1308" i="4"/>
  <c r="R1258" i="4"/>
  <c r="K1258" i="4"/>
  <c r="R1257" i="4"/>
  <c r="K1257" i="4"/>
  <c r="R1256" i="4"/>
  <c r="K1256" i="4"/>
  <c r="R1255" i="4"/>
  <c r="K1255" i="4"/>
  <c r="R1254" i="4"/>
  <c r="K1254" i="4"/>
  <c r="R1212" i="4"/>
  <c r="K1212" i="4"/>
  <c r="R1211" i="4"/>
  <c r="K1211" i="4"/>
  <c r="R1210" i="4"/>
  <c r="K1210" i="4"/>
  <c r="R1209" i="4"/>
  <c r="K1209" i="4"/>
  <c r="R1208" i="4"/>
  <c r="K1208" i="4"/>
  <c r="R1141" i="4"/>
  <c r="K1141" i="4"/>
  <c r="R1140" i="4"/>
  <c r="K1140" i="4"/>
  <c r="R1139" i="4"/>
  <c r="K1139" i="4"/>
  <c r="R1138" i="4"/>
  <c r="K1138" i="4"/>
  <c r="R1127" i="4"/>
  <c r="K1127" i="4"/>
  <c r="R1126" i="4"/>
  <c r="K1126" i="4"/>
  <c r="R1125" i="4"/>
  <c r="K1125" i="4"/>
  <c r="R1124" i="4"/>
  <c r="K1124" i="4"/>
  <c r="R1123" i="4"/>
  <c r="K1123" i="4"/>
  <c r="R1122" i="4"/>
  <c r="K1122" i="4"/>
  <c r="R1121" i="4"/>
  <c r="K1121" i="4"/>
  <c r="R1120" i="4"/>
  <c r="K1120" i="4"/>
  <c r="R1119" i="4"/>
  <c r="K1119" i="4"/>
  <c r="R1118" i="4"/>
  <c r="K1118" i="4"/>
  <c r="R1137" i="4"/>
  <c r="K1137" i="4"/>
  <c r="R1136" i="4"/>
  <c r="K1136" i="4"/>
  <c r="R1135" i="4"/>
  <c r="K1135" i="4"/>
  <c r="R1134" i="4"/>
  <c r="K1134" i="4"/>
  <c r="R1133" i="4"/>
  <c r="K1133" i="4"/>
  <c r="R1132" i="4"/>
  <c r="K1132" i="4"/>
  <c r="R1131" i="4"/>
  <c r="K1131" i="4"/>
  <c r="R1130" i="4"/>
  <c r="K1130" i="4"/>
  <c r="R1129" i="4"/>
  <c r="K1129" i="4"/>
  <c r="R1128" i="4"/>
  <c r="K1128" i="4"/>
  <c r="R1015" i="4"/>
  <c r="K1015" i="4"/>
  <c r="R1014" i="4"/>
  <c r="K1014" i="4"/>
  <c r="R1013" i="4"/>
  <c r="K1013" i="4"/>
  <c r="R1012" i="4"/>
  <c r="K1012" i="4"/>
  <c r="R1011" i="4"/>
  <c r="K1011" i="4"/>
  <c r="R1010" i="4"/>
  <c r="K1010" i="4"/>
  <c r="R1009" i="4"/>
  <c r="K1009" i="4"/>
  <c r="R964" i="4"/>
  <c r="K964" i="4"/>
  <c r="R963" i="4"/>
  <c r="K963" i="4"/>
  <c r="R962" i="4"/>
  <c r="K962" i="4"/>
  <c r="R961" i="4"/>
  <c r="K961" i="4"/>
  <c r="R960" i="4"/>
  <c r="K960" i="4"/>
  <c r="R942" i="4"/>
  <c r="K942" i="4"/>
  <c r="R941" i="4"/>
  <c r="K941" i="4"/>
  <c r="R940" i="4"/>
  <c r="K940" i="4"/>
  <c r="R939" i="4"/>
  <c r="K939" i="4"/>
  <c r="R938" i="4"/>
  <c r="K938" i="4"/>
  <c r="R856" i="4"/>
  <c r="K856" i="4"/>
  <c r="R855" i="4"/>
  <c r="K855" i="4"/>
  <c r="R854" i="4"/>
  <c r="K854" i="4"/>
  <c r="R853" i="4"/>
  <c r="K853" i="4"/>
  <c r="R852" i="4"/>
  <c r="K852" i="4"/>
  <c r="R838" i="4"/>
  <c r="K838" i="4"/>
  <c r="R837" i="4"/>
  <c r="K837" i="4"/>
  <c r="R836" i="4"/>
  <c r="K836" i="4"/>
  <c r="R835" i="4"/>
  <c r="K835" i="4"/>
  <c r="R834" i="4"/>
  <c r="K834" i="4"/>
  <c r="R833" i="4"/>
  <c r="K833" i="4"/>
  <c r="R832" i="4"/>
  <c r="K832" i="4"/>
  <c r="R831" i="4"/>
  <c r="K831" i="4"/>
  <c r="R783" i="4"/>
  <c r="K783" i="4"/>
  <c r="R782" i="4"/>
  <c r="K782" i="4"/>
  <c r="R781" i="4"/>
  <c r="K781" i="4"/>
  <c r="R780" i="4"/>
  <c r="K780" i="4"/>
  <c r="R779" i="4"/>
  <c r="K779" i="4"/>
  <c r="R778" i="4"/>
  <c r="K778" i="4"/>
  <c r="R777" i="4"/>
  <c r="K777" i="4"/>
  <c r="R191" i="4"/>
  <c r="K191" i="4"/>
  <c r="R190" i="4"/>
  <c r="K190" i="4"/>
  <c r="R189" i="4"/>
  <c r="K189" i="4"/>
  <c r="R188" i="4"/>
  <c r="K188" i="4"/>
  <c r="R187" i="4"/>
  <c r="K187" i="4"/>
  <c r="R186" i="4"/>
  <c r="K186" i="4"/>
  <c r="R185" i="4"/>
  <c r="K185" i="4"/>
  <c r="R184" i="4"/>
  <c r="K184" i="4"/>
  <c r="R183" i="4"/>
  <c r="K183" i="4"/>
  <c r="R182" i="4"/>
  <c r="K182" i="4"/>
  <c r="R952" i="4"/>
  <c r="K952" i="4"/>
  <c r="R951" i="4"/>
  <c r="K951" i="4"/>
  <c r="R950" i="4"/>
  <c r="K950" i="4"/>
  <c r="R1704" i="4"/>
  <c r="K1704" i="4"/>
  <c r="R1703" i="4"/>
  <c r="K1703" i="4"/>
  <c r="R1702" i="4"/>
  <c r="K1702" i="4"/>
  <c r="R1701" i="4"/>
  <c r="K1701" i="4"/>
  <c r="R1700" i="4"/>
  <c r="K1700" i="4"/>
  <c r="R1699" i="4"/>
  <c r="K1699" i="4"/>
  <c r="R1698" i="4"/>
  <c r="K1698" i="4"/>
  <c r="R1444" i="4"/>
  <c r="K1444" i="4"/>
  <c r="R1443" i="4"/>
  <c r="K1443" i="4"/>
  <c r="R1442" i="4"/>
  <c r="K1442" i="4"/>
  <c r="R1441" i="4"/>
  <c r="K1441" i="4"/>
  <c r="R1440" i="4"/>
  <c r="K1440" i="4"/>
  <c r="R1439" i="4"/>
  <c r="K1439" i="4"/>
  <c r="R1438" i="4"/>
  <c r="K1438" i="4"/>
  <c r="R1198" i="4"/>
  <c r="K1198" i="4"/>
  <c r="R1197" i="4"/>
  <c r="K1197" i="4"/>
  <c r="R1196" i="4"/>
  <c r="K1196" i="4"/>
  <c r="R1195" i="4"/>
  <c r="K1195" i="4"/>
  <c r="R1194" i="4"/>
  <c r="K1194" i="4"/>
  <c r="R1193" i="4"/>
  <c r="K1193" i="4"/>
  <c r="R1192" i="4"/>
  <c r="K1192" i="4"/>
  <c r="R1148" i="4"/>
  <c r="K1148" i="4"/>
  <c r="R1147" i="4"/>
  <c r="K1147" i="4"/>
  <c r="R1146" i="4"/>
  <c r="K1146" i="4"/>
  <c r="R1145" i="4"/>
  <c r="K1145" i="4"/>
  <c r="R1144" i="4"/>
  <c r="K1144" i="4"/>
  <c r="R1143" i="4"/>
  <c r="K1143" i="4"/>
  <c r="R1142" i="4"/>
  <c r="K1142" i="4"/>
  <c r="R1155" i="4"/>
  <c r="K1155" i="4"/>
  <c r="R1154" i="4"/>
  <c r="K1154" i="4"/>
  <c r="R1153" i="4"/>
  <c r="K1153" i="4"/>
  <c r="R1152" i="4"/>
  <c r="K1152" i="4"/>
  <c r="R1151" i="4"/>
  <c r="K1151" i="4"/>
  <c r="R1150" i="4"/>
  <c r="K1150" i="4"/>
  <c r="R1149" i="4"/>
  <c r="K1149" i="4"/>
  <c r="R1046" i="4"/>
  <c r="K1046" i="4"/>
  <c r="R1045" i="4"/>
  <c r="K1045" i="4"/>
  <c r="R1044" i="4"/>
  <c r="K1044" i="4"/>
  <c r="R1043" i="4"/>
  <c r="K1043" i="4"/>
  <c r="R1042" i="4"/>
  <c r="K1042" i="4"/>
  <c r="R1041" i="4"/>
  <c r="K1041" i="4"/>
  <c r="R1040" i="4"/>
  <c r="K1040" i="4"/>
  <c r="R916" i="4"/>
  <c r="K916" i="4"/>
  <c r="R915" i="4"/>
  <c r="K915" i="4"/>
  <c r="R914" i="4"/>
  <c r="K914" i="4"/>
  <c r="R913" i="4"/>
  <c r="K913" i="4"/>
  <c r="R912" i="4"/>
  <c r="K912" i="4"/>
  <c r="R911" i="4"/>
  <c r="K911" i="4"/>
  <c r="R1901" i="4"/>
  <c r="K1901" i="4"/>
  <c r="R1900" i="4"/>
  <c r="K1900" i="4"/>
  <c r="R1899" i="4"/>
  <c r="K1899" i="4"/>
  <c r="R1898" i="4"/>
  <c r="K1898" i="4"/>
  <c r="R1897" i="4"/>
  <c r="K1897" i="4"/>
  <c r="R1896" i="4"/>
  <c r="K1896" i="4"/>
  <c r="R1895" i="4"/>
  <c r="K1895" i="4"/>
  <c r="R1894" i="4"/>
  <c r="K1894" i="4"/>
  <c r="R1893" i="4"/>
  <c r="K1893" i="4"/>
  <c r="R1892" i="4"/>
  <c r="K1892" i="4"/>
  <c r="R1891" i="4"/>
  <c r="K1891" i="4"/>
  <c r="R1890" i="4"/>
  <c r="K1890" i="4"/>
  <c r="R1889" i="4"/>
  <c r="K1889" i="4"/>
  <c r="R1888" i="4"/>
  <c r="K1888" i="4"/>
  <c r="R1887" i="4"/>
  <c r="K1887" i="4"/>
  <c r="R1886" i="4"/>
  <c r="K1886" i="4"/>
  <c r="R1885" i="4"/>
  <c r="K1885" i="4"/>
  <c r="R1884" i="4"/>
  <c r="K1884" i="4"/>
  <c r="R1883" i="4"/>
  <c r="K1883" i="4"/>
  <c r="R1882" i="4"/>
  <c r="K1882" i="4"/>
  <c r="R1881" i="4"/>
  <c r="K1881" i="4"/>
  <c r="R1880" i="4"/>
  <c r="K1880" i="4"/>
  <c r="R1879" i="4"/>
  <c r="K1879" i="4"/>
  <c r="R1878" i="4"/>
  <c r="K1878" i="4"/>
  <c r="R1877" i="4"/>
  <c r="K1877" i="4"/>
  <c r="R1876" i="4"/>
  <c r="K1876" i="4"/>
  <c r="R1875" i="4"/>
  <c r="K1875" i="4"/>
  <c r="R1874" i="4"/>
  <c r="K1874" i="4"/>
  <c r="R1873" i="4"/>
  <c r="K1873" i="4"/>
  <c r="R1872" i="4"/>
  <c r="K1872" i="4"/>
  <c r="R1871" i="4"/>
  <c r="K1871" i="4"/>
  <c r="R1771" i="4"/>
  <c r="K1771" i="4"/>
  <c r="R1770" i="4"/>
  <c r="K1770" i="4"/>
  <c r="R1769" i="4"/>
  <c r="K1769" i="4"/>
  <c r="R1768" i="4"/>
  <c r="K1768" i="4"/>
  <c r="R1767" i="4"/>
  <c r="K1767" i="4"/>
  <c r="R1766" i="4"/>
  <c r="K1766" i="4"/>
  <c r="R1765" i="4"/>
  <c r="K1765" i="4"/>
  <c r="R1764" i="4"/>
  <c r="K1764" i="4"/>
  <c r="R1763" i="4"/>
  <c r="K1763" i="4"/>
  <c r="R1762" i="4"/>
  <c r="K1762" i="4"/>
  <c r="R1761" i="4"/>
  <c r="K1761" i="4"/>
  <c r="R1760" i="4"/>
  <c r="K1760" i="4"/>
  <c r="R1759" i="4"/>
  <c r="K1759" i="4"/>
  <c r="R1758" i="4"/>
  <c r="K1758" i="4"/>
  <c r="R1757" i="4"/>
  <c r="K1757" i="4"/>
  <c r="R1756" i="4"/>
  <c r="K1756" i="4"/>
  <c r="R1755" i="4"/>
  <c r="K1755" i="4"/>
  <c r="R1754" i="4"/>
  <c r="K1754" i="4"/>
  <c r="R1753" i="4"/>
  <c r="K1753" i="4"/>
  <c r="R1752" i="4"/>
  <c r="K1752" i="4"/>
  <c r="R1751" i="4"/>
  <c r="K1751" i="4"/>
  <c r="R1750" i="4"/>
  <c r="K1750" i="4"/>
  <c r="R1749" i="4"/>
  <c r="K1749" i="4"/>
  <c r="R1748" i="4"/>
  <c r="K1748" i="4"/>
  <c r="R1747" i="4"/>
  <c r="K1747" i="4"/>
  <c r="R1746" i="4"/>
  <c r="K1746" i="4"/>
  <c r="R1745" i="4"/>
  <c r="K1745" i="4"/>
  <c r="R1744" i="4"/>
  <c r="K1744" i="4"/>
  <c r="R1743" i="4"/>
  <c r="K1743" i="4"/>
  <c r="R1742" i="4"/>
  <c r="K1742" i="4"/>
  <c r="R1741" i="4"/>
  <c r="K1741" i="4"/>
  <c r="R1740" i="4"/>
  <c r="K1740" i="4"/>
  <c r="R1739" i="4"/>
  <c r="K1739" i="4"/>
  <c r="R1738" i="4"/>
  <c r="K1738" i="4"/>
  <c r="R1737" i="4"/>
  <c r="K1737" i="4"/>
  <c r="R1736" i="4"/>
  <c r="K1736" i="4"/>
  <c r="R1735" i="4"/>
  <c r="K1735" i="4"/>
  <c r="R1734" i="4"/>
  <c r="K1734" i="4"/>
  <c r="R1733" i="4"/>
  <c r="K1733" i="4"/>
  <c r="R2454" i="4"/>
  <c r="K2454" i="4"/>
  <c r="R2453" i="4"/>
  <c r="K2453" i="4"/>
  <c r="R2452" i="4"/>
  <c r="K2452" i="4"/>
  <c r="R2451" i="4"/>
  <c r="K2451" i="4"/>
  <c r="R2450" i="4"/>
  <c r="K2450" i="4"/>
  <c r="R2449" i="4"/>
  <c r="K2449" i="4"/>
  <c r="R2448" i="4"/>
  <c r="K2448" i="4"/>
  <c r="R2447" i="4"/>
  <c r="K2447" i="4"/>
  <c r="R2446" i="4"/>
  <c r="K2446" i="4"/>
  <c r="R2445" i="4"/>
  <c r="K2445" i="4"/>
  <c r="R2444" i="4"/>
  <c r="K2444" i="4"/>
  <c r="R2443" i="4"/>
  <c r="K2443" i="4"/>
  <c r="R2442" i="4"/>
  <c r="K2442" i="4"/>
  <c r="R2441" i="4"/>
  <c r="K2441" i="4"/>
  <c r="R2440" i="4"/>
  <c r="K2440" i="4"/>
  <c r="R2439" i="4"/>
  <c r="K2439" i="4"/>
  <c r="R2438" i="4"/>
  <c r="K2438" i="4"/>
  <c r="R2437" i="4"/>
  <c r="K2437" i="4"/>
  <c r="R2436" i="4"/>
  <c r="K2436" i="4"/>
  <c r="R2435" i="4"/>
  <c r="K2435" i="4"/>
  <c r="R1378" i="4"/>
  <c r="K1378" i="4"/>
  <c r="R1377" i="4"/>
  <c r="K1377" i="4"/>
  <c r="R1376" i="4"/>
  <c r="K1376" i="4"/>
  <c r="R1375" i="4"/>
  <c r="K1375" i="4"/>
  <c r="R1374" i="4"/>
  <c r="K1374" i="4"/>
  <c r="R1373" i="4"/>
  <c r="K1373" i="4"/>
  <c r="R1372" i="4"/>
  <c r="K1372" i="4"/>
  <c r="R1371" i="4"/>
  <c r="K1371" i="4"/>
  <c r="R1370" i="4"/>
  <c r="K1370" i="4"/>
  <c r="R1369" i="4"/>
  <c r="K1369" i="4"/>
  <c r="R1368" i="4"/>
  <c r="K1368" i="4"/>
  <c r="R1367" i="4"/>
  <c r="K1367" i="4"/>
  <c r="R1366" i="4"/>
  <c r="K1366" i="4"/>
  <c r="R1365" i="4"/>
  <c r="K1365" i="4"/>
  <c r="R1364" i="4"/>
  <c r="K1364" i="4"/>
  <c r="R1363" i="4"/>
  <c r="K1363" i="4"/>
  <c r="R1362" i="4"/>
  <c r="K1362" i="4"/>
  <c r="R1361" i="4"/>
  <c r="K1361" i="4"/>
  <c r="R1360" i="4"/>
  <c r="K1360" i="4"/>
  <c r="R1359" i="4"/>
  <c r="K1359" i="4"/>
  <c r="R1358" i="4"/>
  <c r="K1358" i="4"/>
  <c r="R1357" i="4"/>
  <c r="K1357" i="4"/>
  <c r="R1356" i="4"/>
  <c r="K1356" i="4"/>
  <c r="R1355" i="4"/>
  <c r="K1355" i="4"/>
  <c r="R1354" i="4"/>
  <c r="K1354" i="4"/>
  <c r="R1353" i="4"/>
  <c r="K1353" i="4"/>
  <c r="R1352" i="4"/>
  <c r="K1352" i="4"/>
  <c r="R1351" i="4"/>
  <c r="K1351" i="4"/>
  <c r="R1350" i="4"/>
  <c r="K1350" i="4"/>
  <c r="R1349" i="4"/>
  <c r="K1349" i="4"/>
  <c r="R1348" i="4"/>
  <c r="K1348" i="4"/>
  <c r="R2502" i="4"/>
  <c r="K2502" i="4"/>
  <c r="R2501" i="4"/>
  <c r="K2501" i="4"/>
  <c r="R2500" i="4"/>
  <c r="K2500" i="4"/>
  <c r="R2499" i="4"/>
  <c r="K2499" i="4"/>
  <c r="R2498" i="4"/>
  <c r="K2498" i="4"/>
  <c r="R2497" i="4"/>
  <c r="K2497" i="4"/>
  <c r="R2496" i="4"/>
  <c r="K2496" i="4"/>
  <c r="R2495" i="4"/>
  <c r="K2495" i="4"/>
  <c r="R2494" i="4"/>
  <c r="K2494" i="4"/>
  <c r="R2493" i="4"/>
  <c r="K2493" i="4"/>
  <c r="R2492" i="4"/>
  <c r="K2492" i="4"/>
  <c r="R2491" i="4"/>
  <c r="K2491" i="4"/>
  <c r="R2393" i="4"/>
  <c r="K2393" i="4"/>
  <c r="R2392" i="4"/>
  <c r="K2392" i="4"/>
  <c r="R2391" i="4"/>
  <c r="K2391" i="4"/>
  <c r="R2390" i="4"/>
  <c r="K2390" i="4"/>
  <c r="R2389" i="4"/>
  <c r="K2389" i="4"/>
  <c r="R2388" i="4"/>
  <c r="K2388" i="4"/>
  <c r="R2387" i="4"/>
  <c r="K2387" i="4"/>
  <c r="R2386" i="4"/>
  <c r="K2386" i="4"/>
  <c r="R2385" i="4"/>
  <c r="K2385" i="4"/>
  <c r="R2384" i="4"/>
  <c r="K2384" i="4"/>
  <c r="R2383" i="4"/>
  <c r="K2383" i="4"/>
  <c r="R2369" i="4"/>
  <c r="K2369" i="4"/>
  <c r="R2368" i="4"/>
  <c r="K2368" i="4"/>
  <c r="R2367" i="4"/>
  <c r="K2367" i="4"/>
  <c r="R2366" i="4"/>
  <c r="K2366" i="4"/>
  <c r="R2365" i="4"/>
  <c r="K2365" i="4"/>
  <c r="R2364" i="4"/>
  <c r="K2364" i="4"/>
  <c r="R2363" i="4"/>
  <c r="K2363" i="4"/>
  <c r="R2362" i="4"/>
  <c r="K2362" i="4"/>
  <c r="R2361" i="4"/>
  <c r="K2361" i="4"/>
  <c r="R2360" i="4"/>
  <c r="K2360" i="4"/>
  <c r="R2359" i="4"/>
  <c r="K2359" i="4"/>
  <c r="R2321" i="4"/>
  <c r="K2321" i="4"/>
  <c r="R2320" i="4"/>
  <c r="K2320" i="4"/>
  <c r="R2319" i="4"/>
  <c r="K2319" i="4"/>
  <c r="R2318" i="4"/>
  <c r="K2318" i="4"/>
  <c r="R2317" i="4"/>
  <c r="K2317" i="4"/>
  <c r="R2316" i="4"/>
  <c r="K2316" i="4"/>
  <c r="R2315" i="4"/>
  <c r="K2315" i="4"/>
  <c r="R2314" i="4"/>
  <c r="K2314" i="4"/>
  <c r="R2313" i="4"/>
  <c r="K2313" i="4"/>
  <c r="R2312" i="4"/>
  <c r="K2312" i="4"/>
  <c r="R2311" i="4"/>
  <c r="K2311" i="4"/>
  <c r="R2310" i="4"/>
  <c r="K2310" i="4"/>
  <c r="R2309" i="4"/>
  <c r="K2309" i="4"/>
  <c r="R2308" i="4"/>
  <c r="K2308" i="4"/>
  <c r="R2304" i="4"/>
  <c r="K2304" i="4"/>
  <c r="R2303" i="4"/>
  <c r="K2303" i="4"/>
  <c r="R2302" i="4"/>
  <c r="K2302" i="4"/>
  <c r="R2301" i="4"/>
  <c r="K2301" i="4"/>
  <c r="R2300" i="4"/>
  <c r="K2300" i="4"/>
  <c r="R2299" i="4"/>
  <c r="K2299" i="4"/>
  <c r="R2298" i="4"/>
  <c r="K2298" i="4"/>
  <c r="R2297" i="4"/>
  <c r="K2297" i="4"/>
  <c r="R2296" i="4"/>
  <c r="K2296" i="4"/>
  <c r="R2295" i="4"/>
  <c r="K2295" i="4"/>
  <c r="R2294" i="4"/>
  <c r="K2294" i="4"/>
  <c r="R2293" i="4"/>
  <c r="K2293" i="4"/>
  <c r="R2292" i="4"/>
  <c r="K2292" i="4"/>
  <c r="R2291" i="4"/>
  <c r="K2291" i="4"/>
  <c r="R2290" i="4"/>
  <c r="K2290" i="4"/>
  <c r="R2289" i="4"/>
  <c r="K2289" i="4"/>
  <c r="R2288" i="4"/>
  <c r="K2288" i="4"/>
  <c r="R2287" i="4"/>
  <c r="K2287" i="4"/>
  <c r="R2286" i="4"/>
  <c r="K2286" i="4"/>
  <c r="R2285" i="4"/>
  <c r="K2285" i="4"/>
  <c r="R2284" i="4"/>
  <c r="K2284" i="4"/>
  <c r="R2283" i="4"/>
  <c r="K2283" i="4"/>
  <c r="R2282" i="4"/>
  <c r="K2282" i="4"/>
  <c r="R2281" i="4"/>
  <c r="K2281" i="4"/>
  <c r="R2280" i="4"/>
  <c r="K2280" i="4"/>
  <c r="R2279" i="4"/>
  <c r="K2279" i="4"/>
  <c r="R2278" i="4"/>
  <c r="K2278" i="4"/>
  <c r="R2277" i="4"/>
  <c r="K2277" i="4"/>
  <c r="R1577" i="4"/>
  <c r="K1577" i="4"/>
  <c r="R1576" i="4"/>
  <c r="K1576" i="4"/>
  <c r="R1575" i="4"/>
  <c r="K1575" i="4"/>
  <c r="R1574" i="4"/>
  <c r="K1574" i="4"/>
  <c r="R1573" i="4"/>
  <c r="K1573" i="4"/>
  <c r="R1572" i="4"/>
  <c r="K1572" i="4"/>
  <c r="R1571" i="4"/>
  <c r="K1571" i="4"/>
  <c r="R1570" i="4"/>
  <c r="K1570" i="4"/>
  <c r="R1569" i="4"/>
  <c r="K1569" i="4"/>
  <c r="R1568" i="4"/>
  <c r="K1568" i="4"/>
  <c r="R1567" i="4"/>
  <c r="K1567" i="4"/>
  <c r="R1566" i="4"/>
  <c r="K1566" i="4"/>
  <c r="R1565" i="4"/>
  <c r="K1565" i="4"/>
  <c r="R1564" i="4"/>
  <c r="K1564" i="4"/>
  <c r="R1563" i="4"/>
  <c r="K1563" i="4"/>
  <c r="R1390" i="4"/>
  <c r="K1390" i="4"/>
  <c r="R1389" i="4"/>
  <c r="K1389" i="4"/>
  <c r="R1388" i="4"/>
  <c r="K1388" i="4"/>
  <c r="R1387" i="4"/>
  <c r="K1387" i="4"/>
  <c r="R1386" i="4"/>
  <c r="K1386" i="4"/>
  <c r="R1385" i="4"/>
  <c r="K1385" i="4"/>
  <c r="R1384" i="4"/>
  <c r="K1384" i="4"/>
  <c r="R1383" i="4"/>
  <c r="K1383" i="4"/>
  <c r="R1382" i="4"/>
  <c r="K1382" i="4"/>
  <c r="R1381" i="4"/>
  <c r="K1381" i="4"/>
  <c r="R1380" i="4"/>
  <c r="K1380" i="4"/>
  <c r="R1379" i="4"/>
  <c r="K1379" i="4"/>
  <c r="R1292" i="4"/>
  <c r="K1292" i="4"/>
  <c r="R1291" i="4"/>
  <c r="K1291" i="4"/>
  <c r="R1290" i="4"/>
  <c r="K1290" i="4"/>
  <c r="R1289" i="4"/>
  <c r="K1289" i="4"/>
  <c r="R1288" i="4"/>
  <c r="K1288" i="4"/>
  <c r="R1287" i="4"/>
  <c r="K1287" i="4"/>
  <c r="R1286" i="4"/>
  <c r="K1286" i="4"/>
  <c r="R1285" i="4"/>
  <c r="K1285" i="4"/>
  <c r="R1284" i="4"/>
  <c r="K1284" i="4"/>
  <c r="R1283" i="4"/>
  <c r="K1283" i="4"/>
  <c r="R1282" i="4"/>
  <c r="K1282" i="4"/>
  <c r="R1281" i="4"/>
  <c r="K1281" i="4"/>
  <c r="R1323" i="4"/>
  <c r="K1323" i="4"/>
  <c r="R1322" i="4"/>
  <c r="K1322" i="4"/>
  <c r="R1321" i="4"/>
  <c r="K1321" i="4"/>
  <c r="R1320" i="4"/>
  <c r="K1320" i="4"/>
  <c r="R1319" i="4"/>
  <c r="K1319" i="4"/>
  <c r="R1318" i="4"/>
  <c r="K1318" i="4"/>
  <c r="R1317" i="4"/>
  <c r="K1317" i="4"/>
  <c r="R1316" i="4"/>
  <c r="K1316" i="4"/>
  <c r="R1315" i="4"/>
  <c r="K1315" i="4"/>
  <c r="R1314" i="4"/>
  <c r="K1314" i="4"/>
  <c r="R1313" i="4"/>
  <c r="K1313" i="4"/>
  <c r="R1174" i="4"/>
  <c r="K1174" i="4"/>
  <c r="R1173" i="4"/>
  <c r="K1173" i="4"/>
  <c r="R1172" i="4"/>
  <c r="K1172" i="4"/>
  <c r="R1171" i="4"/>
  <c r="K1171" i="4"/>
  <c r="R1170" i="4"/>
  <c r="K1170" i="4"/>
  <c r="R1169" i="4"/>
  <c r="K1169" i="4"/>
  <c r="R1168" i="4"/>
  <c r="K1168" i="4"/>
  <c r="R1167" i="4"/>
  <c r="K1167" i="4"/>
  <c r="R1166" i="4"/>
  <c r="K1166" i="4"/>
  <c r="R1165" i="4"/>
  <c r="K1165" i="4"/>
  <c r="R1164" i="4"/>
  <c r="K1164" i="4"/>
  <c r="R1163" i="4"/>
  <c r="K1163" i="4"/>
  <c r="R1115" i="4"/>
  <c r="K1115" i="4"/>
  <c r="R1114" i="4"/>
  <c r="K1114" i="4"/>
  <c r="R1113" i="4"/>
  <c r="K1113" i="4"/>
  <c r="R1112" i="4"/>
  <c r="K1112" i="4"/>
  <c r="R1111" i="4"/>
  <c r="K1111" i="4"/>
  <c r="R1110" i="4"/>
  <c r="K1110" i="4"/>
  <c r="R1109" i="4"/>
  <c r="K1109" i="4"/>
  <c r="R1108" i="4"/>
  <c r="K1108" i="4"/>
  <c r="R1107" i="4"/>
  <c r="K1107" i="4"/>
  <c r="R1106" i="4"/>
  <c r="K1106" i="4"/>
  <c r="R1105" i="4"/>
  <c r="K1105" i="4"/>
  <c r="R1104" i="4"/>
  <c r="K1104" i="4"/>
  <c r="R1103" i="4"/>
  <c r="K1103" i="4"/>
  <c r="R1027" i="4"/>
  <c r="K1027" i="4"/>
  <c r="R1026" i="4"/>
  <c r="K1026" i="4"/>
  <c r="R1025" i="4"/>
  <c r="K1025" i="4"/>
  <c r="R1024" i="4"/>
  <c r="K1024" i="4"/>
  <c r="R1023" i="4"/>
  <c r="K1023" i="4"/>
  <c r="R1022" i="4"/>
  <c r="K1022" i="4"/>
  <c r="R1021" i="4"/>
  <c r="K1021" i="4"/>
  <c r="R1020" i="4"/>
  <c r="K1020" i="4"/>
  <c r="R1019" i="4"/>
  <c r="K1019" i="4"/>
  <c r="R1018" i="4"/>
  <c r="K1018" i="4"/>
  <c r="R1017" i="4"/>
  <c r="K1017" i="4"/>
  <c r="R1016" i="4"/>
  <c r="K1016" i="4"/>
  <c r="R884" i="4"/>
  <c r="K884" i="4"/>
  <c r="R883" i="4"/>
  <c r="K883" i="4"/>
  <c r="R882" i="4"/>
  <c r="K882" i="4"/>
  <c r="R881" i="4"/>
  <c r="K881" i="4"/>
  <c r="R880" i="4"/>
  <c r="K880" i="4"/>
  <c r="R879" i="4"/>
  <c r="K879" i="4"/>
  <c r="R878" i="4"/>
  <c r="K878" i="4"/>
  <c r="R877" i="4"/>
  <c r="K877" i="4"/>
  <c r="R876" i="4"/>
  <c r="K876" i="4"/>
  <c r="R875" i="4"/>
  <c r="K875" i="4"/>
  <c r="R874" i="4"/>
  <c r="K874" i="4"/>
  <c r="R873" i="4"/>
  <c r="K873" i="4"/>
  <c r="R865" i="4"/>
  <c r="K865" i="4"/>
  <c r="R864" i="4"/>
  <c r="K864" i="4"/>
  <c r="R863" i="4"/>
  <c r="K863" i="4"/>
  <c r="R862" i="4"/>
  <c r="K862" i="4"/>
  <c r="R861" i="4"/>
  <c r="K861" i="4"/>
  <c r="R860" i="4"/>
  <c r="K860" i="4"/>
  <c r="R859" i="4"/>
  <c r="K859" i="4"/>
  <c r="R858" i="4"/>
  <c r="K858" i="4"/>
  <c r="R826" i="4"/>
  <c r="K826" i="4"/>
  <c r="R825" i="4"/>
  <c r="K825" i="4"/>
  <c r="R824" i="4"/>
  <c r="K824" i="4"/>
  <c r="R823" i="4"/>
  <c r="K823" i="4"/>
  <c r="R822" i="4"/>
  <c r="K822" i="4"/>
  <c r="R821" i="4"/>
  <c r="K821" i="4"/>
  <c r="R820" i="4"/>
  <c r="K820" i="4"/>
  <c r="R819" i="4"/>
  <c r="K819" i="4"/>
  <c r="R818" i="4"/>
  <c r="K818" i="4"/>
  <c r="R817" i="4"/>
  <c r="K817" i="4"/>
  <c r="R816" i="4"/>
  <c r="K816" i="4"/>
  <c r="R815" i="4"/>
  <c r="K815" i="4"/>
  <c r="R776" i="4"/>
  <c r="K776" i="4"/>
  <c r="R775" i="4"/>
  <c r="K775" i="4"/>
  <c r="R774" i="4"/>
  <c r="K774" i="4"/>
  <c r="R773" i="4"/>
  <c r="K773" i="4"/>
  <c r="R772" i="4"/>
  <c r="K772" i="4"/>
  <c r="R771" i="4"/>
  <c r="K771" i="4"/>
  <c r="R770" i="4"/>
  <c r="K770" i="4"/>
  <c r="R769" i="4"/>
  <c r="K769" i="4"/>
  <c r="R768" i="4"/>
  <c r="K768" i="4"/>
  <c r="R767" i="4"/>
  <c r="K767" i="4"/>
  <c r="R766" i="4"/>
  <c r="K766" i="4"/>
  <c r="R765" i="4"/>
  <c r="K765" i="4"/>
  <c r="R210" i="4"/>
  <c r="K210" i="4"/>
  <c r="R209" i="4"/>
  <c r="K209" i="4"/>
  <c r="R208" i="4"/>
  <c r="K208" i="4"/>
  <c r="R207" i="4"/>
  <c r="K207" i="4"/>
  <c r="R206" i="4"/>
  <c r="K206" i="4"/>
  <c r="R205" i="4"/>
  <c r="K205" i="4"/>
  <c r="R204" i="4"/>
  <c r="K204" i="4"/>
  <c r="R203" i="4"/>
  <c r="K203" i="4"/>
  <c r="R202" i="4"/>
  <c r="K202" i="4"/>
  <c r="R201" i="4"/>
  <c r="K201" i="4"/>
  <c r="R200" i="4"/>
  <c r="K200" i="4"/>
  <c r="R2251" i="4"/>
  <c r="K2251" i="4"/>
  <c r="R2250" i="4"/>
  <c r="K2250" i="4"/>
  <c r="R2249" i="4"/>
  <c r="K2249" i="4"/>
  <c r="R2248" i="4"/>
  <c r="K2248" i="4"/>
  <c r="R2247" i="4"/>
  <c r="K2247" i="4"/>
  <c r="R2246" i="4"/>
  <c r="K2246" i="4"/>
  <c r="R2245" i="4"/>
  <c r="K2245" i="4"/>
  <c r="R2244" i="4"/>
  <c r="K2244" i="4"/>
  <c r="R792" i="4"/>
  <c r="K792" i="4"/>
  <c r="R791" i="4"/>
  <c r="K791" i="4"/>
  <c r="R740" i="4"/>
  <c r="K740" i="4"/>
  <c r="R739" i="4"/>
  <c r="K739" i="4"/>
  <c r="R738" i="4"/>
  <c r="K738" i="4"/>
  <c r="R737" i="4"/>
  <c r="K737" i="4"/>
  <c r="R217" i="4"/>
  <c r="K217" i="4"/>
  <c r="R216" i="4"/>
  <c r="K216" i="4"/>
  <c r="R215" i="4"/>
  <c r="K215" i="4"/>
  <c r="R214" i="4"/>
  <c r="K214" i="4"/>
  <c r="R163" i="4"/>
  <c r="K163" i="4"/>
  <c r="R162" i="4"/>
  <c r="K162" i="4"/>
  <c r="R161" i="4"/>
  <c r="K161" i="4"/>
  <c r="R160" i="4"/>
  <c r="K160" i="4"/>
  <c r="R2191" i="4"/>
  <c r="K2191" i="4"/>
  <c r="R1934" i="4"/>
  <c r="K1934" i="4"/>
  <c r="R1933" i="4"/>
  <c r="K1933" i="4"/>
  <c r="R1932" i="4"/>
  <c r="K1932" i="4"/>
  <c r="R1931" i="4"/>
  <c r="K1931" i="4"/>
  <c r="R1930" i="4"/>
  <c r="K1930" i="4"/>
  <c r="R1929" i="4"/>
  <c r="K1929" i="4"/>
  <c r="R1928" i="4"/>
  <c r="K1928" i="4"/>
  <c r="R1621" i="4"/>
  <c r="K1621" i="4"/>
  <c r="R1620" i="4"/>
  <c r="K1620" i="4"/>
  <c r="R1619" i="4"/>
  <c r="K1619" i="4"/>
  <c r="R1618" i="4"/>
  <c r="K1618" i="4"/>
  <c r="R1617" i="4"/>
  <c r="K1617" i="4"/>
  <c r="R1616" i="4"/>
  <c r="K1616" i="4"/>
  <c r="R1615" i="4"/>
  <c r="K1615" i="4"/>
  <c r="R1602" i="4"/>
  <c r="K1602" i="4"/>
  <c r="R1601" i="4"/>
  <c r="K1601" i="4"/>
  <c r="R1600" i="4"/>
  <c r="K1600" i="4"/>
  <c r="R1599" i="4"/>
  <c r="K1599" i="4"/>
  <c r="R1552" i="4"/>
  <c r="K1552" i="4"/>
  <c r="R1538" i="4"/>
  <c r="K1538" i="4"/>
  <c r="R1537" i="4"/>
  <c r="K1537" i="4"/>
  <c r="R1536" i="4"/>
  <c r="K1536" i="4"/>
  <c r="R1535" i="4"/>
  <c r="K1535" i="4"/>
  <c r="R897" i="4"/>
  <c r="K897" i="4"/>
  <c r="R159" i="4"/>
  <c r="K159" i="4"/>
  <c r="R158" i="4"/>
  <c r="K158" i="4"/>
  <c r="R157" i="4"/>
  <c r="K157" i="4"/>
  <c r="R156" i="4"/>
  <c r="K156" i="4"/>
  <c r="R155" i="4"/>
  <c r="K155" i="4"/>
  <c r="R154" i="4"/>
  <c r="K154" i="4"/>
  <c r="R153" i="4"/>
  <c r="K153" i="4"/>
  <c r="R152" i="4"/>
  <c r="K152" i="4"/>
  <c r="R151" i="4"/>
  <c r="K151" i="4"/>
  <c r="R150" i="4"/>
  <c r="K150" i="4"/>
  <c r="R149" i="4"/>
  <c r="K149" i="4"/>
  <c r="R148" i="4"/>
  <c r="K148" i="4"/>
  <c r="R2434" i="4"/>
  <c r="K2434" i="4"/>
  <c r="R2433" i="4"/>
  <c r="K2433" i="4"/>
  <c r="R2155" i="4"/>
  <c r="K2155" i="4"/>
  <c r="R974" i="4"/>
  <c r="K974" i="4"/>
  <c r="R973" i="4"/>
  <c r="K973" i="4"/>
  <c r="R972" i="4"/>
  <c r="K972" i="4"/>
  <c r="R971" i="4"/>
  <c r="K971" i="4"/>
  <c r="R147" i="4"/>
  <c r="K147" i="4"/>
  <c r="R146" i="4"/>
  <c r="K146" i="4"/>
  <c r="R145" i="4"/>
  <c r="K145" i="4"/>
  <c r="R144" i="4"/>
  <c r="K144" i="4"/>
  <c r="R143" i="4"/>
  <c r="K143" i="4"/>
  <c r="R1983" i="4"/>
  <c r="K1983" i="4"/>
  <c r="R1982" i="4"/>
  <c r="K1982" i="4"/>
  <c r="R1981" i="4"/>
  <c r="K1981" i="4"/>
  <c r="R1980" i="4"/>
  <c r="K1980" i="4"/>
  <c r="R886" i="4"/>
  <c r="K886" i="4"/>
  <c r="R885" i="4"/>
  <c r="K885" i="4"/>
  <c r="R841" i="4"/>
  <c r="K841" i="4"/>
  <c r="R840" i="4"/>
  <c r="K840" i="4"/>
  <c r="R839" i="4"/>
  <c r="K839" i="4"/>
  <c r="R1961" i="4"/>
  <c r="K1961" i="4"/>
  <c r="R1960" i="4"/>
  <c r="K1960" i="4"/>
  <c r="R1959" i="4"/>
  <c r="K1959" i="4"/>
  <c r="R1958" i="4"/>
  <c r="K1958" i="4"/>
  <c r="R790" i="4"/>
  <c r="K790" i="4"/>
  <c r="R789" i="4"/>
  <c r="K789" i="4"/>
  <c r="R196" i="4"/>
  <c r="K196" i="4"/>
  <c r="R195" i="4"/>
  <c r="K195" i="4"/>
  <c r="R194" i="4"/>
  <c r="K194" i="4"/>
  <c r="R193" i="4"/>
  <c r="K193" i="4"/>
  <c r="R192" i="4"/>
  <c r="K192" i="4"/>
  <c r="R177" i="4"/>
  <c r="K177" i="4"/>
  <c r="R176" i="4"/>
  <c r="K176" i="4"/>
  <c r="R175" i="4"/>
  <c r="K175" i="4"/>
  <c r="R174" i="4"/>
  <c r="K174" i="4"/>
  <c r="R173" i="4"/>
  <c r="K173" i="4"/>
  <c r="R172" i="4"/>
  <c r="K172" i="4"/>
  <c r="R171" i="4"/>
  <c r="K171" i="4"/>
  <c r="R170" i="4"/>
  <c r="K170" i="4"/>
  <c r="R2643" i="4"/>
  <c r="K2643" i="4"/>
  <c r="R2642" i="4"/>
  <c r="K2642" i="4"/>
  <c r="R121" i="4"/>
  <c r="K121" i="4"/>
  <c r="R120" i="4"/>
  <c r="K120" i="4"/>
  <c r="R119" i="4"/>
  <c r="K119" i="4"/>
  <c r="R118" i="4"/>
  <c r="K118" i="4"/>
  <c r="R117" i="4"/>
  <c r="K117" i="4"/>
  <c r="R970" i="4"/>
  <c r="K970" i="4"/>
  <c r="R969" i="4"/>
  <c r="K969" i="4"/>
  <c r="R968" i="4"/>
  <c r="K968" i="4"/>
  <c r="R967" i="4"/>
  <c r="K967" i="4"/>
  <c r="R966" i="4"/>
  <c r="K966" i="4"/>
  <c r="R965" i="4"/>
  <c r="K965" i="4"/>
  <c r="R2188" i="4"/>
  <c r="K2188" i="4"/>
  <c r="R2187" i="4"/>
  <c r="K2187" i="4"/>
  <c r="R2186" i="4"/>
  <c r="K2186" i="4"/>
  <c r="R2185" i="4"/>
  <c r="K2185" i="4"/>
  <c r="R2071" i="4"/>
  <c r="K2071" i="4"/>
  <c r="R2070" i="4"/>
  <c r="K2070" i="4"/>
  <c r="R2069" i="4"/>
  <c r="K2069" i="4"/>
  <c r="R2068" i="4"/>
  <c r="K2068" i="4"/>
  <c r="R2067" i="4"/>
  <c r="K2067" i="4"/>
  <c r="R2066" i="4"/>
  <c r="K2066" i="4"/>
  <c r="R116" i="4"/>
  <c r="K116" i="4"/>
  <c r="R115" i="4"/>
  <c r="K115" i="4"/>
  <c r="R114" i="4"/>
  <c r="K114" i="4"/>
  <c r="R113" i="4"/>
  <c r="K113" i="4"/>
  <c r="R112" i="4"/>
  <c r="K112" i="4"/>
  <c r="R2357" i="4"/>
  <c r="K2357" i="4"/>
  <c r="R2356" i="4"/>
  <c r="K2356" i="4"/>
  <c r="R2355" i="4"/>
  <c r="K2355" i="4"/>
  <c r="R2354" i="4"/>
  <c r="K2354" i="4"/>
  <c r="R2343" i="4"/>
  <c r="K2343" i="4"/>
  <c r="R2342" i="4"/>
  <c r="K2342" i="4"/>
  <c r="R2341" i="4"/>
  <c r="K2341" i="4"/>
  <c r="R2340" i="4"/>
  <c r="K2340" i="4"/>
  <c r="R2339" i="4"/>
  <c r="K2339" i="4"/>
  <c r="R2353" i="4"/>
  <c r="K2353" i="4"/>
  <c r="R2352" i="4"/>
  <c r="K2352" i="4"/>
  <c r="R2351" i="4"/>
  <c r="K2351" i="4"/>
  <c r="R2350" i="4"/>
  <c r="K2350" i="4"/>
  <c r="R2349" i="4"/>
  <c r="K2349" i="4"/>
  <c r="R2348" i="4"/>
  <c r="K2348" i="4"/>
  <c r="R2347" i="4"/>
  <c r="K2347" i="4"/>
  <c r="R2346" i="4"/>
  <c r="K2346" i="4"/>
  <c r="R2345" i="4"/>
  <c r="K2345" i="4"/>
  <c r="R2344" i="4"/>
  <c r="K2344" i="4"/>
  <c r="R2338" i="4"/>
  <c r="K2338" i="4"/>
  <c r="R2337" i="4"/>
  <c r="K2337" i="4"/>
  <c r="R2336" i="4"/>
  <c r="K2336" i="4"/>
  <c r="R2335" i="4"/>
  <c r="K2335" i="4"/>
  <c r="R2334" i="4"/>
  <c r="K2334" i="4"/>
  <c r="R2269" i="4"/>
  <c r="K2269" i="4"/>
  <c r="R2268" i="4"/>
  <c r="K2268" i="4"/>
  <c r="R1471" i="4"/>
  <c r="K1471" i="4"/>
  <c r="R1470" i="4"/>
  <c r="K1470" i="4"/>
  <c r="R1469" i="4"/>
  <c r="K1469" i="4"/>
  <c r="R1468" i="4"/>
  <c r="K1468" i="4"/>
  <c r="R1467" i="4"/>
  <c r="K1467" i="4"/>
  <c r="R1033" i="4"/>
  <c r="K1033" i="4"/>
  <c r="R1032" i="4"/>
  <c r="K1032" i="4"/>
  <c r="R1031" i="4"/>
  <c r="K1031" i="4"/>
  <c r="R988" i="4"/>
  <c r="K988" i="4"/>
  <c r="R987" i="4"/>
  <c r="K987" i="4"/>
  <c r="R986" i="4"/>
  <c r="K986" i="4"/>
  <c r="R985" i="4"/>
  <c r="K985" i="4"/>
  <c r="R984" i="4"/>
  <c r="K984" i="4"/>
  <c r="R845" i="4"/>
  <c r="K845" i="4"/>
  <c r="R844" i="4"/>
  <c r="K844" i="4"/>
  <c r="R843" i="4"/>
  <c r="K843" i="4"/>
  <c r="R842" i="4"/>
  <c r="K842" i="4"/>
  <c r="R811" i="4"/>
  <c r="K811" i="4"/>
  <c r="R810" i="4"/>
  <c r="K810" i="4"/>
  <c r="R809" i="4"/>
  <c r="K809" i="4"/>
  <c r="R808" i="4"/>
  <c r="K808" i="4"/>
  <c r="R181" i="4"/>
  <c r="K181" i="4"/>
  <c r="R180" i="4"/>
  <c r="K180" i="4"/>
  <c r="R179" i="4"/>
  <c r="K179" i="4"/>
  <c r="R178" i="4"/>
  <c r="K178" i="4"/>
  <c r="R111" i="4"/>
  <c r="K111" i="4"/>
  <c r="R110" i="4"/>
  <c r="K110" i="4"/>
  <c r="R109" i="4"/>
  <c r="K109" i="4"/>
  <c r="R108" i="4"/>
  <c r="K108" i="4"/>
  <c r="R107" i="4"/>
  <c r="K107" i="4"/>
  <c r="R2513" i="4"/>
  <c r="K2513" i="4"/>
  <c r="R2512" i="4"/>
  <c r="K2512" i="4"/>
  <c r="R2511" i="4"/>
  <c r="K2511" i="4"/>
  <c r="R2510" i="4"/>
  <c r="K2510" i="4"/>
  <c r="R2509" i="4"/>
  <c r="K2509" i="4"/>
  <c r="R2508" i="4"/>
  <c r="K2508" i="4"/>
  <c r="R2507" i="4"/>
  <c r="K2507" i="4"/>
  <c r="R2506" i="4"/>
  <c r="K2506" i="4"/>
  <c r="R2505" i="4"/>
  <c r="K2505" i="4"/>
  <c r="R2504" i="4"/>
  <c r="K2504" i="4"/>
  <c r="R2503" i="4"/>
  <c r="K2503" i="4"/>
  <c r="R2490" i="4"/>
  <c r="K2490" i="4"/>
  <c r="R2489" i="4"/>
  <c r="K2489" i="4"/>
  <c r="R2488" i="4"/>
  <c r="K2488" i="4"/>
  <c r="R2487" i="4"/>
  <c r="K2487" i="4"/>
  <c r="R1728" i="4"/>
  <c r="K1728" i="4"/>
  <c r="R1727" i="4"/>
  <c r="K1727" i="4"/>
  <c r="R1726" i="4"/>
  <c r="K1726" i="4"/>
  <c r="R1725" i="4"/>
  <c r="K1725" i="4"/>
  <c r="R1724" i="4"/>
  <c r="K1724" i="4"/>
  <c r="R1723" i="4"/>
  <c r="K1723" i="4"/>
  <c r="R1722" i="4"/>
  <c r="K1722" i="4"/>
  <c r="R1412" i="4"/>
  <c r="K1412" i="4"/>
  <c r="R1411" i="4"/>
  <c r="K1411" i="4"/>
  <c r="R1410" i="4"/>
  <c r="K1410" i="4"/>
  <c r="R1409" i="4"/>
  <c r="K1409" i="4"/>
  <c r="R106" i="4"/>
  <c r="K106" i="4"/>
  <c r="R105" i="4"/>
  <c r="K105" i="4"/>
  <c r="R104" i="4"/>
  <c r="K104" i="4"/>
  <c r="R103" i="4"/>
  <c r="K103" i="4"/>
  <c r="R102" i="4"/>
  <c r="K102" i="4"/>
  <c r="R1966" i="4"/>
  <c r="K1966" i="4"/>
  <c r="R1965" i="4"/>
  <c r="K1965" i="4"/>
  <c r="R101" i="4"/>
  <c r="K101" i="4"/>
  <c r="R100" i="4"/>
  <c r="K100" i="4"/>
  <c r="R99" i="4"/>
  <c r="K99" i="4"/>
  <c r="R98" i="4"/>
  <c r="K98" i="4"/>
  <c r="R97" i="4"/>
  <c r="K97" i="4"/>
  <c r="R2164" i="4"/>
  <c r="K2164" i="4"/>
  <c r="R2163" i="4"/>
  <c r="K2163" i="4"/>
  <c r="R2162" i="4"/>
  <c r="K2162" i="4"/>
  <c r="R2161" i="4"/>
  <c r="K2161" i="4"/>
  <c r="R2160" i="4"/>
  <c r="K2160" i="4"/>
  <c r="R96" i="4"/>
  <c r="K96" i="4"/>
  <c r="R95" i="4"/>
  <c r="K95" i="4"/>
  <c r="R94" i="4"/>
  <c r="K94" i="4"/>
  <c r="R93" i="4"/>
  <c r="K93" i="4"/>
  <c r="R92" i="4"/>
  <c r="K92" i="4"/>
  <c r="R91" i="4"/>
  <c r="K91" i="4"/>
  <c r="R90" i="4"/>
  <c r="K90" i="4"/>
  <c r="R89" i="4"/>
  <c r="K89" i="4"/>
  <c r="R88" i="4"/>
  <c r="K88" i="4"/>
  <c r="R87" i="4"/>
  <c r="K87" i="4"/>
  <c r="R86" i="4"/>
  <c r="K86" i="4"/>
  <c r="R85" i="4"/>
  <c r="K85" i="4"/>
  <c r="R84" i="4"/>
  <c r="K84" i="4"/>
  <c r="R83" i="4"/>
  <c r="K83" i="4"/>
  <c r="R82" i="4"/>
  <c r="K82" i="4"/>
  <c r="R2403" i="4"/>
  <c r="K2403" i="4"/>
  <c r="R2402" i="4"/>
  <c r="K2402" i="4"/>
  <c r="R2401" i="4"/>
  <c r="K2401" i="4"/>
  <c r="R2108" i="4"/>
  <c r="K2108" i="4"/>
  <c r="R2107" i="4"/>
  <c r="K2107" i="4"/>
  <c r="R2106" i="4"/>
  <c r="K2106" i="4"/>
  <c r="R2105" i="4"/>
  <c r="K2105" i="4"/>
  <c r="R1102" i="4"/>
  <c r="K1102" i="4"/>
  <c r="R1101" i="4"/>
  <c r="K1101" i="4"/>
  <c r="R1100" i="4"/>
  <c r="K1100" i="4"/>
  <c r="R1099" i="4"/>
  <c r="K1099" i="4"/>
  <c r="R1098" i="4"/>
  <c r="K1098" i="4"/>
  <c r="R1097" i="4"/>
  <c r="K1097" i="4"/>
  <c r="R1096" i="4"/>
  <c r="K1096" i="4"/>
  <c r="R872" i="4"/>
  <c r="K872" i="4"/>
  <c r="R871" i="4"/>
  <c r="K871" i="4"/>
  <c r="R76" i="4"/>
  <c r="K76" i="4"/>
  <c r="R75" i="4"/>
  <c r="K75" i="4"/>
  <c r="R74" i="4"/>
  <c r="K74" i="4"/>
  <c r="R73" i="4"/>
  <c r="K73" i="4"/>
  <c r="R72" i="4"/>
  <c r="K72" i="4"/>
  <c r="R2624" i="4"/>
  <c r="K2624" i="4"/>
  <c r="R2623" i="4"/>
  <c r="K2623" i="4"/>
  <c r="R2622" i="4"/>
  <c r="K2622" i="4"/>
  <c r="R2621" i="4"/>
  <c r="K2621" i="4"/>
  <c r="R2620" i="4"/>
  <c r="K2620" i="4"/>
  <c r="R2602" i="4"/>
  <c r="K2602" i="4"/>
  <c r="R2601" i="4"/>
  <c r="K2601" i="4"/>
  <c r="R2600" i="4"/>
  <c r="K2600" i="4"/>
  <c r="R2599" i="4"/>
  <c r="K2599" i="4"/>
  <c r="R2598" i="4"/>
  <c r="K2598" i="4"/>
  <c r="R81" i="4"/>
  <c r="K81" i="4"/>
  <c r="R80" i="4"/>
  <c r="K80" i="4"/>
  <c r="R79" i="4"/>
  <c r="K79" i="4"/>
  <c r="R78" i="4"/>
  <c r="K78" i="4"/>
  <c r="R77" i="4"/>
  <c r="K77" i="4"/>
  <c r="R2532" i="4"/>
  <c r="K2532" i="4"/>
  <c r="R2531" i="4"/>
  <c r="K2531" i="4"/>
  <c r="R2530" i="4"/>
  <c r="K2530" i="4"/>
  <c r="R2529" i="4"/>
  <c r="K2529" i="4"/>
  <c r="R2528" i="4"/>
  <c r="K2528" i="4"/>
  <c r="R2527" i="4"/>
  <c r="K2527" i="4"/>
  <c r="R2526" i="4"/>
  <c r="K2526" i="4"/>
  <c r="R2525" i="4"/>
  <c r="K2525" i="4"/>
  <c r="R2524" i="4"/>
  <c r="K2524" i="4"/>
  <c r="R2523" i="4"/>
  <c r="K2523" i="4"/>
  <c r="R1905" i="4"/>
  <c r="K1905" i="4"/>
  <c r="R1904" i="4"/>
  <c r="K1904" i="4"/>
  <c r="R1903" i="4"/>
  <c r="K1903" i="4"/>
  <c r="R1902" i="4"/>
  <c r="K1902" i="4"/>
  <c r="R1627" i="4"/>
  <c r="K1627" i="4"/>
  <c r="R1626" i="4"/>
  <c r="K1626" i="4"/>
  <c r="R1625" i="4"/>
  <c r="K1625" i="4"/>
  <c r="R1624" i="4"/>
  <c r="K1624" i="4"/>
  <c r="R1623" i="4"/>
  <c r="K1623" i="4"/>
  <c r="R1622" i="4"/>
  <c r="K1622" i="4"/>
  <c r="R1594" i="4"/>
  <c r="K1594" i="4"/>
  <c r="R1593" i="4"/>
  <c r="K1593" i="4"/>
  <c r="R1592" i="4"/>
  <c r="K1592" i="4"/>
  <c r="R1591" i="4"/>
  <c r="K1591" i="4"/>
  <c r="R1534" i="4"/>
  <c r="K1534" i="4"/>
  <c r="R1533" i="4"/>
  <c r="K1533" i="4"/>
  <c r="R1532" i="4"/>
  <c r="K1532" i="4"/>
  <c r="R1265" i="4"/>
  <c r="K1265" i="4"/>
  <c r="R1264" i="4"/>
  <c r="K1264" i="4"/>
  <c r="R1263" i="4"/>
  <c r="K1263" i="4"/>
  <c r="R1262" i="4"/>
  <c r="K1262" i="4"/>
  <c r="R1261" i="4"/>
  <c r="K1261" i="4"/>
  <c r="R1260" i="4"/>
  <c r="K1260" i="4"/>
  <c r="R1259" i="4"/>
  <c r="K1259" i="4"/>
  <c r="R1056" i="4"/>
  <c r="K1056" i="4"/>
  <c r="R1055" i="4"/>
  <c r="K1055" i="4"/>
  <c r="R1054" i="4"/>
  <c r="K1054" i="4"/>
  <c r="R1053" i="4"/>
  <c r="K1053" i="4"/>
  <c r="R1052" i="4"/>
  <c r="K1052" i="4"/>
  <c r="R1051" i="4"/>
  <c r="K1051" i="4"/>
  <c r="R1006" i="4"/>
  <c r="K1006" i="4"/>
  <c r="R1005" i="4"/>
  <c r="K1005" i="4"/>
  <c r="R1004" i="4"/>
  <c r="K1004" i="4"/>
  <c r="R1003" i="4"/>
  <c r="K1003" i="4"/>
  <c r="R1002" i="4"/>
  <c r="K1002" i="4"/>
  <c r="R1001" i="4"/>
  <c r="K1001" i="4"/>
  <c r="R788" i="4"/>
  <c r="K788" i="4"/>
  <c r="R787" i="4"/>
  <c r="K787" i="4"/>
  <c r="R786" i="4"/>
  <c r="K786" i="4"/>
  <c r="R785" i="4"/>
  <c r="K785" i="4"/>
  <c r="R784" i="4"/>
  <c r="K784" i="4"/>
  <c r="R71" i="4"/>
  <c r="K71" i="4"/>
  <c r="R70" i="4"/>
  <c r="K70" i="4"/>
  <c r="R69" i="4"/>
  <c r="K69" i="4"/>
  <c r="R68" i="4"/>
  <c r="K68" i="4"/>
  <c r="R67" i="4"/>
  <c r="K67" i="4"/>
  <c r="R66" i="4"/>
  <c r="K66" i="4"/>
  <c r="R65" i="4"/>
  <c r="K65" i="4"/>
  <c r="R1645" i="4"/>
  <c r="K1645" i="4"/>
  <c r="R1644" i="4"/>
  <c r="K1644" i="4"/>
  <c r="R1643" i="4"/>
  <c r="K1643" i="4"/>
  <c r="R1642" i="4"/>
  <c r="K1642" i="4"/>
  <c r="R1641" i="4"/>
  <c r="K1641" i="4"/>
  <c r="R1640" i="4"/>
  <c r="K1640" i="4"/>
  <c r="R1639" i="4"/>
  <c r="K1639" i="4"/>
  <c r="R1638" i="4"/>
  <c r="K1638" i="4"/>
  <c r="R64" i="4"/>
  <c r="K64" i="4"/>
  <c r="R63" i="4"/>
  <c r="K63" i="4"/>
  <c r="R62" i="4"/>
  <c r="K62" i="4"/>
  <c r="R61" i="4"/>
  <c r="K61" i="4"/>
  <c r="R60" i="4"/>
  <c r="K60" i="4"/>
  <c r="R1395" i="4"/>
  <c r="K1395" i="4"/>
  <c r="R1394" i="4"/>
  <c r="K1394" i="4"/>
  <c r="R1393" i="4"/>
  <c r="K1393" i="4"/>
  <c r="R1392" i="4"/>
  <c r="K1392" i="4"/>
  <c r="R2682" i="4"/>
  <c r="K2682" i="4"/>
  <c r="R2681" i="4"/>
  <c r="K2681" i="4"/>
  <c r="R2680" i="4"/>
  <c r="K2680" i="4"/>
  <c r="R2679" i="4"/>
  <c r="K2679" i="4"/>
  <c r="R2678" i="4"/>
  <c r="K2678" i="4"/>
  <c r="R59" i="4"/>
  <c r="K59" i="4"/>
  <c r="R58" i="4"/>
  <c r="K58" i="4"/>
  <c r="R57" i="4"/>
  <c r="K57" i="4"/>
  <c r="R56" i="4"/>
  <c r="K56" i="4"/>
  <c r="R55" i="4"/>
  <c r="K55" i="4"/>
  <c r="R54" i="4"/>
  <c r="K54" i="4"/>
  <c r="R53" i="4"/>
  <c r="K53" i="4"/>
  <c r="R2005" i="4"/>
  <c r="K2005" i="4"/>
  <c r="R2004" i="4"/>
  <c r="K2004" i="4"/>
  <c r="R2003" i="4"/>
  <c r="K2003" i="4"/>
  <c r="R2002" i="4"/>
  <c r="K2002" i="4"/>
  <c r="R1466" i="4"/>
  <c r="K1466" i="4"/>
  <c r="R1465" i="4"/>
  <c r="K1465" i="4"/>
  <c r="R1341" i="4"/>
  <c r="K1341" i="4"/>
  <c r="R1340" i="4"/>
  <c r="K1340" i="4"/>
  <c r="R1207" i="4"/>
  <c r="K1207" i="4"/>
  <c r="R1206" i="4"/>
  <c r="K1206" i="4"/>
  <c r="R1205" i="4"/>
  <c r="K1205" i="4"/>
  <c r="R1095" i="4"/>
  <c r="K1095" i="4"/>
  <c r="R1094" i="4"/>
  <c r="K1094" i="4"/>
  <c r="R52" i="4"/>
  <c r="K52" i="4"/>
  <c r="R51" i="4"/>
  <c r="K51" i="4"/>
  <c r="R50" i="4"/>
  <c r="K50" i="4"/>
  <c r="R49" i="4"/>
  <c r="K49" i="4"/>
  <c r="R48" i="4"/>
  <c r="K48" i="4"/>
  <c r="R47" i="4"/>
  <c r="K47" i="4"/>
  <c r="R46" i="4"/>
  <c r="K46" i="4"/>
  <c r="R45" i="4"/>
  <c r="K45" i="4"/>
  <c r="R44" i="4"/>
  <c r="K44" i="4"/>
  <c r="R43" i="4"/>
  <c r="K43" i="4"/>
  <c r="R2558" i="4"/>
  <c r="K2558" i="4"/>
  <c r="R2557" i="4"/>
  <c r="K2557" i="4"/>
  <c r="R2556" i="4"/>
  <c r="K2556" i="4"/>
  <c r="R2555" i="4"/>
  <c r="K2555" i="4"/>
  <c r="R42" i="4"/>
  <c r="K42" i="4"/>
  <c r="R41" i="4"/>
  <c r="K41" i="4"/>
  <c r="R40" i="4"/>
  <c r="K40" i="4"/>
  <c r="R39" i="4"/>
  <c r="K39" i="4"/>
  <c r="R38" i="4"/>
  <c r="K38" i="4"/>
  <c r="R2522" i="4"/>
  <c r="K2522" i="4"/>
  <c r="R2521" i="4"/>
  <c r="K2521" i="4"/>
  <c r="R2520" i="4"/>
  <c r="K2520" i="4"/>
  <c r="R2519" i="4"/>
  <c r="K2519" i="4"/>
  <c r="R2518" i="4"/>
  <c r="K2518" i="4"/>
  <c r="R2517" i="4"/>
  <c r="K2517" i="4"/>
  <c r="R2516" i="4"/>
  <c r="K2516" i="4"/>
  <c r="R2408" i="4"/>
  <c r="K2408" i="4"/>
  <c r="R2407" i="4"/>
  <c r="K2407" i="4"/>
  <c r="R2406" i="4"/>
  <c r="K2406" i="4"/>
  <c r="R2405" i="4"/>
  <c r="K2405" i="4"/>
  <c r="R2404" i="4"/>
  <c r="K2404" i="4"/>
  <c r="R2375" i="4"/>
  <c r="K2375" i="4"/>
  <c r="R2374" i="4"/>
  <c r="K2374" i="4"/>
  <c r="R2373" i="4"/>
  <c r="K2373" i="4"/>
  <c r="R2372" i="4"/>
  <c r="K2372" i="4"/>
  <c r="R2371" i="4"/>
  <c r="K2371" i="4"/>
  <c r="R2370" i="4"/>
  <c r="K2370" i="4"/>
  <c r="R2010" i="4"/>
  <c r="K2010" i="4"/>
  <c r="R2009" i="4"/>
  <c r="K2009" i="4"/>
  <c r="R2008" i="4"/>
  <c r="K2008" i="4"/>
  <c r="R2007" i="4"/>
  <c r="K2007" i="4"/>
  <c r="R2006" i="4"/>
  <c r="K2006" i="4"/>
  <c r="R1525" i="4"/>
  <c r="K1525" i="4"/>
  <c r="R1524" i="4"/>
  <c r="K1524" i="4"/>
  <c r="R1523" i="4"/>
  <c r="K1523" i="4"/>
  <c r="R1522" i="4"/>
  <c r="K1522" i="4"/>
  <c r="R1521" i="4"/>
  <c r="K1521" i="4"/>
  <c r="R851" i="4"/>
  <c r="K851" i="4"/>
  <c r="R850" i="4"/>
  <c r="K850" i="4"/>
  <c r="R849" i="4"/>
  <c r="K849" i="4"/>
  <c r="R848" i="4"/>
  <c r="K848" i="4"/>
  <c r="R847" i="4"/>
  <c r="K847" i="4"/>
  <c r="R846" i="4"/>
  <c r="K846" i="4"/>
  <c r="R37" i="4"/>
  <c r="K37" i="4"/>
  <c r="R36" i="4"/>
  <c r="K36" i="4"/>
  <c r="R35" i="4"/>
  <c r="K35" i="4"/>
  <c r="R34" i="4"/>
  <c r="K34" i="4"/>
  <c r="R33" i="4"/>
  <c r="K33" i="4"/>
  <c r="R2221" i="4"/>
  <c r="K2221" i="4"/>
  <c r="R2220" i="4"/>
  <c r="K2220" i="4"/>
  <c r="R2219" i="4"/>
  <c r="K2219" i="4"/>
  <c r="R2218" i="4"/>
  <c r="K2218" i="4"/>
  <c r="R2217" i="4"/>
  <c r="K2217" i="4"/>
  <c r="R2216" i="4"/>
  <c r="K2216" i="4"/>
  <c r="R935" i="4"/>
  <c r="K935" i="4"/>
  <c r="R934" i="4"/>
  <c r="K934" i="4"/>
  <c r="R2592" i="4"/>
  <c r="K2592" i="4"/>
  <c r="R2591" i="4"/>
  <c r="K2591" i="4"/>
  <c r="R32" i="4"/>
  <c r="K32" i="4"/>
  <c r="R31" i="4"/>
  <c r="K31" i="4"/>
  <c r="R30" i="4"/>
  <c r="K30" i="4"/>
  <c r="R29" i="4"/>
  <c r="K29" i="4"/>
  <c r="R28" i="4"/>
  <c r="K28" i="4"/>
  <c r="R27" i="4"/>
  <c r="K27" i="4"/>
  <c r="R2546" i="4"/>
  <c r="K2546" i="4"/>
  <c r="R2545" i="4"/>
  <c r="K2545" i="4"/>
  <c r="R2544" i="4"/>
  <c r="K2544" i="4"/>
  <c r="R2543" i="4"/>
  <c r="K2543" i="4"/>
  <c r="R2542" i="4"/>
  <c r="K2542" i="4"/>
  <c r="R2541" i="4"/>
  <c r="K2541" i="4"/>
  <c r="R2515" i="4"/>
  <c r="K2515" i="4"/>
  <c r="R2514" i="4"/>
  <c r="K2514" i="4"/>
  <c r="R2327" i="4"/>
  <c r="K2327" i="4"/>
  <c r="R2326" i="4"/>
  <c r="K2326" i="4"/>
  <c r="R2325" i="4"/>
  <c r="K2325" i="4"/>
  <c r="R2324" i="4"/>
  <c r="K2324" i="4"/>
  <c r="R2148" i="4"/>
  <c r="K2148" i="4"/>
  <c r="R2147" i="4"/>
  <c r="K2147" i="4"/>
  <c r="R2146" i="4"/>
  <c r="K2146" i="4"/>
  <c r="R2145" i="4"/>
  <c r="K2145" i="4"/>
  <c r="R2144" i="4"/>
  <c r="K2144" i="4"/>
  <c r="R2130" i="4"/>
  <c r="K2130" i="4"/>
  <c r="R2129" i="4"/>
  <c r="K2129" i="4"/>
  <c r="R2128" i="4"/>
  <c r="K2128" i="4"/>
  <c r="R2127" i="4"/>
  <c r="K2127" i="4"/>
  <c r="R2122" i="4"/>
  <c r="K2122" i="4"/>
  <c r="R2121" i="4"/>
  <c r="K2121" i="4"/>
  <c r="R2120" i="4"/>
  <c r="K2120" i="4"/>
  <c r="R2119" i="4"/>
  <c r="K2119" i="4"/>
  <c r="R2118" i="4"/>
  <c r="K2118" i="4"/>
  <c r="R2117" i="4"/>
  <c r="K2117" i="4"/>
  <c r="R2116" i="4"/>
  <c r="K2116" i="4"/>
  <c r="R2115" i="4"/>
  <c r="K2115" i="4"/>
  <c r="R2114" i="4"/>
  <c r="K2114" i="4"/>
  <c r="R2113" i="4"/>
  <c r="K2113" i="4"/>
  <c r="R2112" i="4"/>
  <c r="K2112" i="4"/>
  <c r="R2111" i="4"/>
  <c r="K2111" i="4"/>
  <c r="R2110" i="4"/>
  <c r="K2110" i="4"/>
  <c r="R2109" i="4"/>
  <c r="K2109" i="4"/>
  <c r="R2100" i="4"/>
  <c r="K2100" i="4"/>
  <c r="R2099" i="4"/>
  <c r="K2099" i="4"/>
  <c r="R2098" i="4"/>
  <c r="K2098" i="4"/>
  <c r="R2037" i="4"/>
  <c r="K2037" i="4"/>
  <c r="R2036" i="4"/>
  <c r="K2036" i="4"/>
  <c r="R2035" i="4"/>
  <c r="K2035" i="4"/>
  <c r="R2034" i="4"/>
  <c r="K2034" i="4"/>
  <c r="R1417" i="4"/>
  <c r="K1417" i="4"/>
  <c r="R1416" i="4"/>
  <c r="K1416" i="4"/>
  <c r="R1415" i="4"/>
  <c r="K1415" i="4"/>
  <c r="R1414" i="4"/>
  <c r="K1414" i="4"/>
  <c r="R1413" i="4"/>
  <c r="K1413" i="4"/>
  <c r="R1408" i="4"/>
  <c r="K1408" i="4"/>
  <c r="R1407" i="4"/>
  <c r="K1407" i="4"/>
  <c r="R1406" i="4"/>
  <c r="K1406" i="4"/>
  <c r="R1335" i="4"/>
  <c r="K1335" i="4"/>
  <c r="R1334" i="4"/>
  <c r="K1334" i="4"/>
  <c r="R1333" i="4"/>
  <c r="K1333" i="4"/>
  <c r="R1332" i="4"/>
  <c r="K1332" i="4"/>
  <c r="R1307" i="4"/>
  <c r="K1307" i="4"/>
  <c r="R1306" i="4"/>
  <c r="K1306" i="4"/>
  <c r="R1305" i="4"/>
  <c r="K1305" i="4"/>
  <c r="R1304" i="4"/>
  <c r="K1304" i="4"/>
  <c r="R1303" i="4"/>
  <c r="K1303" i="4"/>
  <c r="R1302" i="4"/>
  <c r="K1302" i="4"/>
  <c r="R1162" i="4"/>
  <c r="K1162" i="4"/>
  <c r="R1161" i="4"/>
  <c r="K1161" i="4"/>
  <c r="R1160" i="4"/>
  <c r="K1160" i="4"/>
  <c r="R1159" i="4"/>
  <c r="K1159" i="4"/>
  <c r="R946" i="4"/>
  <c r="K946" i="4"/>
  <c r="R945" i="4"/>
  <c r="K945" i="4"/>
  <c r="R944" i="4"/>
  <c r="K944" i="4"/>
  <c r="R943" i="4"/>
  <c r="K943" i="4"/>
  <c r="R928" i="4"/>
  <c r="K928" i="4"/>
  <c r="R927" i="4"/>
  <c r="K927" i="4"/>
  <c r="R926" i="4"/>
  <c r="K926" i="4"/>
  <c r="R925" i="4"/>
  <c r="K925" i="4"/>
  <c r="R828" i="4"/>
  <c r="K828" i="4"/>
  <c r="R827" i="4"/>
  <c r="K827" i="4"/>
  <c r="R23" i="4"/>
  <c r="K23" i="4"/>
  <c r="R22" i="4"/>
  <c r="K22" i="4"/>
  <c r="R21" i="4"/>
  <c r="K21" i="4"/>
  <c r="R20" i="4"/>
  <c r="K20" i="4"/>
  <c r="R19" i="4"/>
  <c r="R1940" i="4"/>
  <c r="K1940" i="4"/>
  <c r="R1939" i="4"/>
  <c r="K1939" i="4"/>
  <c r="R199" i="4"/>
  <c r="K199" i="4"/>
  <c r="E10" i="4"/>
  <c r="D10" i="4"/>
  <c r="R198" i="4"/>
  <c r="K198" i="4"/>
  <c r="E9" i="4"/>
  <c r="R197" i="4"/>
  <c r="K197" i="4"/>
  <c r="R169" i="4"/>
  <c r="K169" i="4"/>
  <c r="D7" i="4"/>
  <c r="R168" i="4"/>
  <c r="K168" i="4"/>
  <c r="E6" i="4" s="1"/>
  <c r="AF384" i="3"/>
  <c r="M384" i="3"/>
  <c r="AF150" i="3"/>
  <c r="M150" i="3"/>
  <c r="AF394" i="3"/>
  <c r="M394" i="3"/>
  <c r="AF393" i="3"/>
  <c r="W393" i="3"/>
  <c r="U393" i="3"/>
  <c r="S393" i="3"/>
  <c r="Q393" i="3"/>
  <c r="O393" i="3"/>
  <c r="M393" i="3"/>
  <c r="AF392" i="3"/>
  <c r="O392" i="3"/>
  <c r="M392" i="3"/>
  <c r="AF391" i="3"/>
  <c r="M391" i="3"/>
  <c r="AF390" i="3"/>
  <c r="M390" i="3"/>
  <c r="AF389" i="3"/>
  <c r="M389" i="3"/>
  <c r="AF388" i="3"/>
  <c r="Q388" i="3"/>
  <c r="O388" i="3"/>
  <c r="M388" i="3"/>
  <c r="AF387" i="3"/>
  <c r="M387" i="3"/>
  <c r="AF386" i="3"/>
  <c r="S386" i="3"/>
  <c r="Q386" i="3"/>
  <c r="O386" i="3"/>
  <c r="M386" i="3"/>
  <c r="AF385" i="3"/>
  <c r="M385" i="3"/>
  <c r="AF383" i="3"/>
  <c r="O383" i="3"/>
  <c r="M383" i="3"/>
  <c r="AF382" i="3"/>
  <c r="M382" i="3"/>
  <c r="AF381" i="3"/>
  <c r="O381" i="3"/>
  <c r="M381" i="3"/>
  <c r="AF380" i="3"/>
  <c r="Y380" i="3"/>
  <c r="W380" i="3"/>
  <c r="U380" i="3"/>
  <c r="S380" i="3"/>
  <c r="Q380" i="3"/>
  <c r="O380" i="3"/>
  <c r="M380" i="3"/>
  <c r="AF379" i="3"/>
  <c r="AE379" i="3"/>
  <c r="AC379" i="3"/>
  <c r="AA379" i="3"/>
  <c r="Y379" i="3"/>
  <c r="W379" i="3"/>
  <c r="U379" i="3"/>
  <c r="S379" i="3"/>
  <c r="Q379" i="3"/>
  <c r="O379" i="3"/>
  <c r="M379" i="3"/>
  <c r="AF378" i="3"/>
  <c r="M378" i="3"/>
  <c r="AF377" i="3"/>
  <c r="O377" i="3"/>
  <c r="M377" i="3"/>
  <c r="AF376" i="3"/>
  <c r="AE376" i="3"/>
  <c r="AC376" i="3"/>
  <c r="AA376" i="3"/>
  <c r="Y376" i="3"/>
  <c r="W376" i="3"/>
  <c r="U376" i="3"/>
  <c r="S376" i="3"/>
  <c r="Q376" i="3"/>
  <c r="O376" i="3"/>
  <c r="M376" i="3"/>
  <c r="AF375" i="3"/>
  <c r="AE375" i="3"/>
  <c r="AC375" i="3"/>
  <c r="AA375" i="3"/>
  <c r="Y375" i="3"/>
  <c r="W375" i="3"/>
  <c r="U375" i="3"/>
  <c r="S375" i="3"/>
  <c r="Q375" i="3"/>
  <c r="O375" i="3"/>
  <c r="M375" i="3"/>
  <c r="AF374" i="3"/>
  <c r="M374" i="3"/>
  <c r="AF373" i="3"/>
  <c r="AE373" i="3"/>
  <c r="AC373" i="3"/>
  <c r="AA373" i="3"/>
  <c r="Y373" i="3"/>
  <c r="W373" i="3"/>
  <c r="U373" i="3"/>
  <c r="S373" i="3"/>
  <c r="Q373" i="3"/>
  <c r="O373" i="3"/>
  <c r="M373" i="3"/>
  <c r="AF372" i="3"/>
  <c r="Y372" i="3"/>
  <c r="W372" i="3"/>
  <c r="U372" i="3"/>
  <c r="S372" i="3"/>
  <c r="Q372" i="3"/>
  <c r="O372" i="3"/>
  <c r="M372" i="3"/>
  <c r="AF371" i="3"/>
  <c r="M371" i="3"/>
  <c r="AF370" i="3"/>
  <c r="Q370" i="3"/>
  <c r="O370" i="3"/>
  <c r="M370" i="3"/>
  <c r="AF369" i="3"/>
  <c r="M369" i="3"/>
  <c r="AF368" i="3"/>
  <c r="AE368" i="3"/>
  <c r="AC368" i="3"/>
  <c r="AA368" i="3"/>
  <c r="Y368" i="3"/>
  <c r="W368" i="3"/>
  <c r="U368" i="3"/>
  <c r="S368" i="3"/>
  <c r="Q368" i="3"/>
  <c r="O368" i="3"/>
  <c r="M368" i="3"/>
  <c r="AF367" i="3"/>
  <c r="S367" i="3"/>
  <c r="Q367" i="3"/>
  <c r="O367" i="3"/>
  <c r="M367" i="3"/>
  <c r="AF366" i="3"/>
  <c r="M366" i="3"/>
  <c r="AF365" i="3"/>
  <c r="AE365" i="3"/>
  <c r="AC365" i="3"/>
  <c r="AA365" i="3"/>
  <c r="Y365" i="3"/>
  <c r="W365" i="3"/>
  <c r="U365" i="3"/>
  <c r="S365" i="3"/>
  <c r="Q365" i="3"/>
  <c r="O365" i="3"/>
  <c r="M365" i="3"/>
  <c r="AF364" i="3"/>
  <c r="O364" i="3"/>
  <c r="M364" i="3"/>
  <c r="AF363" i="3"/>
  <c r="Q363" i="3"/>
  <c r="O363" i="3"/>
  <c r="M363" i="3"/>
  <c r="AF362" i="3"/>
  <c r="AE362" i="3"/>
  <c r="AC362" i="3"/>
  <c r="AA362" i="3"/>
  <c r="Y362" i="3"/>
  <c r="W362" i="3"/>
  <c r="U362" i="3"/>
  <c r="S362" i="3"/>
  <c r="Q362" i="3"/>
  <c r="O362" i="3"/>
  <c r="M362" i="3"/>
  <c r="AF361" i="3"/>
  <c r="M361" i="3"/>
  <c r="AF360" i="3"/>
  <c r="M360" i="3"/>
  <c r="AF359" i="3"/>
  <c r="S359" i="3"/>
  <c r="Q359" i="3"/>
  <c r="O359" i="3"/>
  <c r="M359" i="3"/>
  <c r="AF358" i="3"/>
  <c r="M358" i="3"/>
  <c r="AF14" i="3"/>
  <c r="AE14" i="3"/>
  <c r="AC14" i="3"/>
  <c r="AA14" i="3"/>
  <c r="Y14" i="3"/>
  <c r="W14" i="3"/>
  <c r="U14" i="3"/>
  <c r="S14" i="3"/>
  <c r="Q14" i="3"/>
  <c r="O14" i="3"/>
  <c r="M14" i="3"/>
  <c r="AF22" i="3"/>
  <c r="S22" i="3"/>
  <c r="Q22" i="3"/>
  <c r="O22" i="3"/>
  <c r="M22" i="3"/>
  <c r="AF21" i="3"/>
  <c r="O21" i="3"/>
  <c r="M21" i="3"/>
  <c r="AF20" i="3"/>
  <c r="M20" i="3"/>
  <c r="AF19" i="3"/>
  <c r="Y19" i="3"/>
  <c r="W19" i="3"/>
  <c r="U19" i="3"/>
  <c r="S19" i="3"/>
  <c r="Q19" i="3"/>
  <c r="O19" i="3"/>
  <c r="M19" i="3"/>
  <c r="AF18" i="3"/>
  <c r="O18" i="3"/>
  <c r="M18" i="3"/>
  <c r="AF17" i="3"/>
  <c r="M17" i="3"/>
  <c r="AF16" i="3"/>
  <c r="AA16" i="3"/>
  <c r="Y16" i="3"/>
  <c r="W16" i="3"/>
  <c r="U16" i="3"/>
  <c r="S16" i="3"/>
  <c r="Q16" i="3"/>
  <c r="O16" i="3"/>
  <c r="M16" i="3"/>
  <c r="AF15" i="3"/>
  <c r="AE15" i="3"/>
  <c r="AC15" i="3"/>
  <c r="AA15" i="3"/>
  <c r="Y15" i="3"/>
  <c r="W15" i="3"/>
  <c r="U15" i="3"/>
  <c r="S15" i="3"/>
  <c r="Q15" i="3"/>
  <c r="O15" i="3"/>
  <c r="M15" i="3"/>
  <c r="AF11" i="3"/>
  <c r="M11" i="3"/>
  <c r="AF12" i="3"/>
  <c r="M12" i="3"/>
  <c r="AF13" i="3"/>
  <c r="O13" i="3"/>
  <c r="M13" i="3"/>
  <c r="AF357" i="3"/>
  <c r="M357" i="3"/>
  <c r="AF356" i="3"/>
  <c r="M356" i="3"/>
  <c r="AF355" i="3"/>
  <c r="M355" i="3"/>
  <c r="AF354" i="3"/>
  <c r="M354" i="3"/>
  <c r="AF353" i="3"/>
  <c r="S353" i="3"/>
  <c r="Q353" i="3"/>
  <c r="O353" i="3"/>
  <c r="M353" i="3"/>
  <c r="AF352" i="3"/>
  <c r="M352" i="3"/>
  <c r="AF351" i="3"/>
  <c r="M351" i="3"/>
  <c r="AF350" i="3"/>
  <c r="M350" i="3"/>
  <c r="AF349" i="3"/>
  <c r="S349" i="3"/>
  <c r="Q349" i="3"/>
  <c r="O349" i="3"/>
  <c r="M349" i="3"/>
  <c r="AF348" i="3"/>
  <c r="M348" i="3"/>
  <c r="AF347" i="3"/>
  <c r="M347" i="3"/>
  <c r="AF346" i="3"/>
  <c r="M346" i="3"/>
  <c r="AF345" i="3"/>
  <c r="O345" i="3"/>
  <c r="M345" i="3"/>
  <c r="AF344" i="3"/>
  <c r="M344" i="3"/>
  <c r="AF343" i="3"/>
  <c r="M343" i="3"/>
  <c r="AF342" i="3"/>
  <c r="O342" i="3"/>
  <c r="M342" i="3"/>
  <c r="AF341" i="3"/>
  <c r="O341" i="3"/>
  <c r="M341" i="3"/>
  <c r="AF340" i="3"/>
  <c r="U340" i="3"/>
  <c r="S340" i="3"/>
  <c r="Q340" i="3"/>
  <c r="O340" i="3"/>
  <c r="M340" i="3"/>
  <c r="AF339" i="3"/>
  <c r="M339" i="3"/>
  <c r="AF338" i="3"/>
  <c r="M338" i="3"/>
  <c r="AF337" i="3"/>
  <c r="M337" i="3"/>
  <c r="AF336" i="3"/>
  <c r="M336" i="3"/>
  <c r="AF335" i="3"/>
  <c r="Q335" i="3"/>
  <c r="O335" i="3"/>
  <c r="M335" i="3"/>
  <c r="AF334" i="3"/>
  <c r="AE334" i="3"/>
  <c r="AC334" i="3"/>
  <c r="AA334" i="3"/>
  <c r="Y334" i="3"/>
  <c r="W334" i="3"/>
  <c r="U334" i="3"/>
  <c r="S334" i="3"/>
  <c r="Q334" i="3"/>
  <c r="O334" i="3"/>
  <c r="M334" i="3"/>
  <c r="AF333" i="3"/>
  <c r="M333" i="3"/>
  <c r="AF332" i="3"/>
  <c r="M332" i="3"/>
  <c r="AF331" i="3"/>
  <c r="M331" i="3"/>
  <c r="AF330" i="3"/>
  <c r="M330" i="3"/>
  <c r="AF329" i="3"/>
  <c r="S329" i="3"/>
  <c r="Q329" i="3"/>
  <c r="O329" i="3"/>
  <c r="M329" i="3"/>
  <c r="AF328" i="3"/>
  <c r="M328" i="3"/>
  <c r="AF327" i="3"/>
  <c r="M327" i="3"/>
  <c r="AF326" i="3"/>
  <c r="M326" i="3"/>
  <c r="AF325" i="3"/>
  <c r="M325" i="3"/>
  <c r="AF324" i="3"/>
  <c r="M324" i="3"/>
  <c r="AF323" i="3"/>
  <c r="M323" i="3"/>
  <c r="AF322" i="3"/>
  <c r="M322" i="3"/>
  <c r="AF321" i="3"/>
  <c r="M321" i="3"/>
  <c r="AF320" i="3"/>
  <c r="M320" i="3"/>
  <c r="AF319" i="3"/>
  <c r="M319" i="3"/>
  <c r="AF318" i="3"/>
  <c r="M318" i="3"/>
  <c r="AF317" i="3"/>
  <c r="M317" i="3"/>
  <c r="AF316" i="3"/>
  <c r="M316" i="3"/>
  <c r="AF315" i="3"/>
  <c r="M315" i="3"/>
  <c r="AF314" i="3"/>
  <c r="M314" i="3"/>
  <c r="AF313" i="3"/>
  <c r="M313" i="3"/>
  <c r="AF312" i="3"/>
  <c r="M312" i="3"/>
  <c r="AF311" i="3"/>
  <c r="M311" i="3"/>
  <c r="AF310" i="3"/>
  <c r="M310" i="3"/>
  <c r="AF309" i="3"/>
  <c r="O309" i="3"/>
  <c r="M309" i="3"/>
  <c r="AF308" i="3"/>
  <c r="M308" i="3"/>
  <c r="AF307" i="3"/>
  <c r="M307" i="3"/>
  <c r="AF306" i="3"/>
  <c r="M306" i="3"/>
  <c r="AF305" i="3"/>
  <c r="M305" i="3"/>
  <c r="AF304" i="3"/>
  <c r="O304" i="3"/>
  <c r="M304" i="3"/>
  <c r="AF303" i="3"/>
  <c r="O303" i="3"/>
  <c r="M303" i="3"/>
  <c r="AF302" i="3"/>
  <c r="M302" i="3"/>
  <c r="AF301" i="3"/>
  <c r="M301" i="3"/>
  <c r="AF300" i="3"/>
  <c r="O300" i="3"/>
  <c r="M300" i="3"/>
  <c r="AF299" i="3"/>
  <c r="M299" i="3"/>
  <c r="AF298" i="3"/>
  <c r="M298" i="3"/>
  <c r="AF297" i="3"/>
  <c r="M297" i="3"/>
  <c r="AF296" i="3"/>
  <c r="M296" i="3"/>
  <c r="AF295" i="3"/>
  <c r="M295" i="3"/>
  <c r="AF294" i="3"/>
  <c r="O294" i="3"/>
  <c r="M294" i="3"/>
  <c r="AF293" i="3"/>
  <c r="Q293" i="3"/>
  <c r="O293" i="3"/>
  <c r="M293" i="3"/>
  <c r="AF292" i="3"/>
  <c r="M292" i="3"/>
  <c r="AF291" i="3"/>
  <c r="M291" i="3"/>
  <c r="AF290" i="3"/>
  <c r="M290" i="3"/>
  <c r="AF289" i="3"/>
  <c r="O289" i="3"/>
  <c r="M289" i="3"/>
  <c r="AF288" i="3"/>
  <c r="M288" i="3"/>
  <c r="AF287" i="3"/>
  <c r="O287" i="3"/>
  <c r="M287" i="3"/>
  <c r="AF286" i="3"/>
  <c r="M286" i="3"/>
  <c r="AF285" i="3"/>
  <c r="AC285" i="3"/>
  <c r="AA285" i="3"/>
  <c r="Y285" i="3"/>
  <c r="W285" i="3"/>
  <c r="U285" i="3"/>
  <c r="S285" i="3"/>
  <c r="Q285" i="3"/>
  <c r="O285" i="3"/>
  <c r="M285" i="3"/>
  <c r="AF284" i="3"/>
  <c r="M284" i="3"/>
  <c r="AF283" i="3"/>
  <c r="M283" i="3"/>
  <c r="AF282" i="3"/>
  <c r="M282" i="3"/>
  <c r="AF281" i="3"/>
  <c r="M281" i="3"/>
  <c r="AF280" i="3"/>
  <c r="M280" i="3"/>
  <c r="AF279" i="3"/>
  <c r="O279" i="3"/>
  <c r="M279" i="3"/>
  <c r="AF278" i="3"/>
  <c r="M278" i="3"/>
  <c r="AF277" i="3"/>
  <c r="M277" i="3"/>
  <c r="AF276" i="3"/>
  <c r="M276" i="3"/>
  <c r="AF275" i="3"/>
  <c r="M275" i="3"/>
  <c r="AF274" i="3"/>
  <c r="O274" i="3"/>
  <c r="M274" i="3"/>
  <c r="AF273" i="3"/>
  <c r="S273" i="3"/>
  <c r="Q273" i="3"/>
  <c r="O273" i="3"/>
  <c r="M273" i="3"/>
  <c r="AF272" i="3"/>
  <c r="O272" i="3"/>
  <c r="M272" i="3"/>
  <c r="AF271" i="3"/>
  <c r="M271" i="3"/>
  <c r="AF270" i="3"/>
  <c r="M270" i="3"/>
  <c r="AF269" i="3"/>
  <c r="M269" i="3"/>
  <c r="AF268" i="3"/>
  <c r="M268" i="3"/>
  <c r="AF267" i="3"/>
  <c r="W267" i="3"/>
  <c r="U267" i="3"/>
  <c r="S267" i="3"/>
  <c r="Q267" i="3"/>
  <c r="O267" i="3"/>
  <c r="M267" i="3"/>
  <c r="AF266" i="3"/>
  <c r="M266" i="3"/>
  <c r="AF265" i="3"/>
  <c r="O265" i="3"/>
  <c r="M265" i="3"/>
  <c r="AF264" i="3"/>
  <c r="M264" i="3"/>
  <c r="AF263" i="3"/>
  <c r="O263" i="3"/>
  <c r="M263" i="3"/>
  <c r="AF262" i="3"/>
  <c r="M262" i="3"/>
  <c r="AF261" i="3"/>
  <c r="M261" i="3"/>
  <c r="AF260" i="3"/>
  <c r="M260" i="3"/>
  <c r="AF259" i="3"/>
  <c r="O259" i="3"/>
  <c r="M259" i="3"/>
  <c r="AF258" i="3"/>
  <c r="M258" i="3"/>
  <c r="AF257" i="3"/>
  <c r="O257" i="3"/>
  <c r="M257" i="3"/>
  <c r="AF256" i="3"/>
  <c r="M256" i="3"/>
  <c r="AF255" i="3"/>
  <c r="M255" i="3"/>
  <c r="AF254" i="3"/>
  <c r="M254" i="3"/>
  <c r="AF253" i="3"/>
  <c r="M253" i="3"/>
  <c r="AF252" i="3"/>
  <c r="U252" i="3"/>
  <c r="S252" i="3"/>
  <c r="Q252" i="3"/>
  <c r="O252" i="3"/>
  <c r="M252" i="3"/>
  <c r="AF251" i="3"/>
  <c r="AE251" i="3"/>
  <c r="AC251" i="3"/>
  <c r="AA251" i="3"/>
  <c r="Y251" i="3"/>
  <c r="W251" i="3"/>
  <c r="U251" i="3"/>
  <c r="S251" i="3"/>
  <c r="Q251" i="3"/>
  <c r="O251" i="3"/>
  <c r="M251" i="3"/>
  <c r="AF250" i="3"/>
  <c r="M250" i="3"/>
  <c r="AF249" i="3"/>
  <c r="M249" i="3"/>
  <c r="AF248" i="3"/>
  <c r="M248" i="3"/>
  <c r="AF247" i="3"/>
  <c r="Q247" i="3"/>
  <c r="O247" i="3"/>
  <c r="M247" i="3"/>
  <c r="AF246" i="3"/>
  <c r="O246" i="3"/>
  <c r="M246" i="3"/>
  <c r="AF245" i="3"/>
  <c r="M245" i="3"/>
  <c r="AF244" i="3"/>
  <c r="AE244" i="3"/>
  <c r="AC244" i="3"/>
  <c r="AA244" i="3"/>
  <c r="Y244" i="3"/>
  <c r="W244" i="3"/>
  <c r="U244" i="3"/>
  <c r="S244" i="3"/>
  <c r="Q244" i="3"/>
  <c r="O244" i="3"/>
  <c r="M244" i="3"/>
  <c r="AF243" i="3"/>
  <c r="S243" i="3"/>
  <c r="Q243" i="3"/>
  <c r="O243" i="3"/>
  <c r="M243" i="3"/>
  <c r="AF242" i="3"/>
  <c r="O242" i="3"/>
  <c r="M242" i="3"/>
  <c r="AF241" i="3"/>
  <c r="O241" i="3"/>
  <c r="M241" i="3"/>
  <c r="AF240" i="3"/>
  <c r="M240" i="3"/>
  <c r="AF239" i="3"/>
  <c r="M239" i="3"/>
  <c r="AF238" i="3"/>
  <c r="AA238" i="3"/>
  <c r="Y238" i="3"/>
  <c r="W238" i="3"/>
  <c r="U238" i="3"/>
  <c r="S238" i="3"/>
  <c r="Q238" i="3"/>
  <c r="O238" i="3"/>
  <c r="M238" i="3"/>
  <c r="AF237" i="3"/>
  <c r="M237" i="3"/>
  <c r="AF236" i="3"/>
  <c r="M236" i="3"/>
  <c r="AF235" i="3"/>
  <c r="M235" i="3"/>
  <c r="AF234" i="3"/>
  <c r="O234" i="3"/>
  <c r="M234" i="3"/>
  <c r="AF233" i="3"/>
  <c r="O233" i="3"/>
  <c r="M233" i="3"/>
  <c r="AF232" i="3"/>
  <c r="M232" i="3"/>
  <c r="AF231" i="3"/>
  <c r="AE231" i="3"/>
  <c r="AC231" i="3"/>
  <c r="AA231" i="3"/>
  <c r="Y231" i="3"/>
  <c r="W231" i="3"/>
  <c r="U231" i="3"/>
  <c r="S231" i="3"/>
  <c r="Q231" i="3"/>
  <c r="O231" i="3"/>
  <c r="M231" i="3"/>
  <c r="AF230" i="3"/>
  <c r="M230" i="3"/>
  <c r="AF229" i="3"/>
  <c r="M229" i="3"/>
  <c r="AF228" i="3"/>
  <c r="M228" i="3"/>
  <c r="AF227" i="3"/>
  <c r="M227" i="3"/>
  <c r="AF226" i="3"/>
  <c r="M226" i="3"/>
  <c r="AF225" i="3"/>
  <c r="U225" i="3"/>
  <c r="S225" i="3"/>
  <c r="Q225" i="3"/>
  <c r="O225" i="3"/>
  <c r="M225" i="3"/>
  <c r="AF224" i="3"/>
  <c r="M224" i="3"/>
  <c r="AF223" i="3"/>
  <c r="O223" i="3"/>
  <c r="M223" i="3"/>
  <c r="AF222" i="3"/>
  <c r="O222" i="3"/>
  <c r="M222" i="3"/>
  <c r="AF221" i="3"/>
  <c r="M221" i="3"/>
  <c r="AF220" i="3"/>
  <c r="M220" i="3"/>
  <c r="AF219" i="3"/>
  <c r="M219" i="3"/>
  <c r="AF218" i="3"/>
  <c r="O218" i="3"/>
  <c r="M218" i="3"/>
  <c r="AF217" i="3"/>
  <c r="M217" i="3"/>
  <c r="AF216" i="3"/>
  <c r="M216" i="3"/>
  <c r="AF215" i="3"/>
  <c r="M215" i="3"/>
  <c r="AF214" i="3"/>
  <c r="M214" i="3"/>
  <c r="AF213" i="3"/>
  <c r="M213" i="3"/>
  <c r="AF212" i="3"/>
  <c r="S212" i="3"/>
  <c r="Q212" i="3"/>
  <c r="O212" i="3"/>
  <c r="M212" i="3"/>
  <c r="AF211" i="3"/>
  <c r="O211" i="3"/>
  <c r="M211" i="3"/>
  <c r="AF210" i="3"/>
  <c r="O210" i="3"/>
  <c r="M210" i="3"/>
  <c r="AF209" i="3"/>
  <c r="M209" i="3"/>
  <c r="AF208" i="3"/>
  <c r="M208" i="3"/>
  <c r="AF207" i="3"/>
  <c r="M207" i="3"/>
  <c r="AF206" i="3"/>
  <c r="AE206" i="3"/>
  <c r="AC206" i="3"/>
  <c r="AA206" i="3"/>
  <c r="Y206" i="3"/>
  <c r="W206" i="3"/>
  <c r="U206" i="3"/>
  <c r="S206" i="3"/>
  <c r="Q206" i="3"/>
  <c r="O206" i="3"/>
  <c r="M206" i="3"/>
  <c r="AF205" i="3"/>
  <c r="M205" i="3"/>
  <c r="AF204" i="3"/>
  <c r="M204" i="3"/>
  <c r="AF203" i="3"/>
  <c r="O203" i="3"/>
  <c r="M203" i="3"/>
  <c r="AF202" i="3"/>
  <c r="M202" i="3"/>
  <c r="AF201" i="3"/>
  <c r="M201" i="3"/>
  <c r="AF200" i="3"/>
  <c r="AE200" i="3"/>
  <c r="AC200" i="3"/>
  <c r="AA200" i="3"/>
  <c r="Y200" i="3"/>
  <c r="W200" i="3"/>
  <c r="U200" i="3"/>
  <c r="S200" i="3"/>
  <c r="Q200" i="3"/>
  <c r="O200" i="3"/>
  <c r="M200" i="3"/>
  <c r="AF199" i="3"/>
  <c r="M199" i="3"/>
  <c r="AF198" i="3"/>
  <c r="AE198" i="3"/>
  <c r="AC198" i="3"/>
  <c r="AA198" i="3"/>
  <c r="Y198" i="3"/>
  <c r="W198" i="3"/>
  <c r="U198" i="3"/>
  <c r="S198" i="3"/>
  <c r="Q198" i="3"/>
  <c r="O198" i="3"/>
  <c r="M198" i="3"/>
  <c r="AF197" i="3"/>
  <c r="M197" i="3"/>
  <c r="AF196" i="3"/>
  <c r="M196" i="3"/>
  <c r="AF195" i="3"/>
  <c r="AE195" i="3"/>
  <c r="AC195" i="3"/>
  <c r="AA195" i="3"/>
  <c r="Y195" i="3"/>
  <c r="W195" i="3"/>
  <c r="U195" i="3"/>
  <c r="S195" i="3"/>
  <c r="Q195" i="3"/>
  <c r="O195" i="3"/>
  <c r="M195" i="3"/>
  <c r="AF194" i="3"/>
  <c r="M194" i="3"/>
  <c r="AF193" i="3"/>
  <c r="M193" i="3"/>
  <c r="AF192" i="3"/>
  <c r="O192" i="3"/>
  <c r="M192" i="3"/>
  <c r="AF191" i="3"/>
  <c r="U191" i="3"/>
  <c r="S191" i="3"/>
  <c r="Q191" i="3"/>
  <c r="O191" i="3"/>
  <c r="M191" i="3"/>
  <c r="AF190" i="3"/>
  <c r="O190" i="3"/>
  <c r="M190" i="3"/>
  <c r="AF189" i="3"/>
  <c r="U189" i="3"/>
  <c r="S189" i="3"/>
  <c r="Q189" i="3"/>
  <c r="O189" i="3"/>
  <c r="M189" i="3"/>
  <c r="AF188" i="3"/>
  <c r="M188" i="3"/>
  <c r="AF187" i="3"/>
  <c r="M187" i="3"/>
  <c r="AF186" i="3"/>
  <c r="M186" i="3"/>
  <c r="AF185" i="3"/>
  <c r="M185" i="3"/>
  <c r="AF184" i="3"/>
  <c r="M184" i="3"/>
  <c r="AF183" i="3"/>
  <c r="M183" i="3"/>
  <c r="AF182" i="3"/>
  <c r="M182" i="3"/>
  <c r="AF181" i="3"/>
  <c r="M181" i="3"/>
  <c r="AF180" i="3"/>
  <c r="O180" i="3"/>
  <c r="M180" i="3"/>
  <c r="AF179" i="3"/>
  <c r="M179" i="3"/>
  <c r="AF178" i="3"/>
  <c r="Y178" i="3"/>
  <c r="W178" i="3"/>
  <c r="U178" i="3"/>
  <c r="S178" i="3"/>
  <c r="Q178" i="3"/>
  <c r="O178" i="3"/>
  <c r="M178" i="3"/>
  <c r="AF177" i="3"/>
  <c r="S177" i="3"/>
  <c r="Q177" i="3"/>
  <c r="O177" i="3"/>
  <c r="M177" i="3"/>
  <c r="AF176" i="3"/>
  <c r="O176" i="3"/>
  <c r="M176" i="3"/>
  <c r="AF175" i="3"/>
  <c r="M175" i="3"/>
  <c r="AF174" i="3"/>
  <c r="M174" i="3"/>
  <c r="AF173" i="3"/>
  <c r="M173" i="3"/>
  <c r="AF172" i="3"/>
  <c r="M172" i="3"/>
  <c r="AF171" i="3"/>
  <c r="AE171" i="3"/>
  <c r="AC171" i="3"/>
  <c r="AA171" i="3"/>
  <c r="Y171" i="3"/>
  <c r="W171" i="3"/>
  <c r="U171" i="3"/>
  <c r="S171" i="3"/>
  <c r="Q171" i="3"/>
  <c r="O171" i="3"/>
  <c r="M171" i="3"/>
  <c r="AF170" i="3"/>
  <c r="Q170" i="3"/>
  <c r="O170" i="3"/>
  <c r="M170" i="3"/>
  <c r="AF169" i="3"/>
  <c r="M169" i="3"/>
  <c r="AF168" i="3"/>
  <c r="M168" i="3"/>
  <c r="AF167" i="3"/>
  <c r="O167" i="3"/>
  <c r="M167" i="3"/>
  <c r="AF166" i="3"/>
  <c r="M166" i="3"/>
  <c r="AF165" i="3"/>
  <c r="M165" i="3"/>
  <c r="AF164" i="3"/>
  <c r="M164" i="3"/>
  <c r="AF163" i="3"/>
  <c r="M163" i="3"/>
  <c r="AF162" i="3"/>
  <c r="M162" i="3"/>
  <c r="AF161" i="3"/>
  <c r="AE161" i="3"/>
  <c r="AC161" i="3"/>
  <c r="AA161" i="3"/>
  <c r="Y161" i="3"/>
  <c r="W161" i="3"/>
  <c r="U161" i="3"/>
  <c r="S161" i="3"/>
  <c r="Q161" i="3"/>
  <c r="O161" i="3"/>
  <c r="M161" i="3"/>
  <c r="AF160" i="3"/>
  <c r="M160" i="3"/>
  <c r="AF159" i="3"/>
  <c r="O159" i="3"/>
  <c r="M159" i="3"/>
  <c r="AF158" i="3"/>
  <c r="M158" i="3"/>
  <c r="AF157" i="3"/>
  <c r="M157" i="3"/>
  <c r="AF156" i="3"/>
  <c r="M156" i="3"/>
  <c r="AF155" i="3"/>
  <c r="M155" i="3"/>
  <c r="AF154" i="3"/>
  <c r="M154" i="3"/>
  <c r="AF153" i="3"/>
  <c r="M153" i="3"/>
  <c r="AF152" i="3"/>
  <c r="M152" i="3"/>
  <c r="AF151" i="3"/>
  <c r="AA151" i="3"/>
  <c r="Y151" i="3"/>
  <c r="W151" i="3"/>
  <c r="U151" i="3"/>
  <c r="S151" i="3"/>
  <c r="Q151" i="3"/>
  <c r="O151" i="3"/>
  <c r="M151" i="3"/>
  <c r="AF149" i="3"/>
  <c r="AE149" i="3"/>
  <c r="AC149" i="3"/>
  <c r="AA149" i="3"/>
  <c r="Y149" i="3"/>
  <c r="W149" i="3"/>
  <c r="U149" i="3"/>
  <c r="S149" i="3"/>
  <c r="Q149" i="3"/>
  <c r="O149" i="3"/>
  <c r="M149" i="3"/>
  <c r="AF148" i="3"/>
  <c r="O148" i="3"/>
  <c r="M148" i="3"/>
  <c r="AF147" i="3"/>
  <c r="M147" i="3"/>
  <c r="AF146" i="3"/>
  <c r="O146" i="3"/>
  <c r="M146" i="3"/>
  <c r="AF145" i="3"/>
  <c r="M145" i="3"/>
  <c r="AF144" i="3"/>
  <c r="AE144" i="3"/>
  <c r="AC144" i="3"/>
  <c r="AA144" i="3"/>
  <c r="Y144" i="3"/>
  <c r="W144" i="3"/>
  <c r="U144" i="3"/>
  <c r="S144" i="3"/>
  <c r="Q144" i="3"/>
  <c r="O144" i="3"/>
  <c r="M144" i="3"/>
  <c r="AF143" i="3"/>
  <c r="AE143" i="3"/>
  <c r="AC143" i="3"/>
  <c r="AA143" i="3"/>
  <c r="Y143" i="3"/>
  <c r="W143" i="3"/>
  <c r="U143" i="3"/>
  <c r="S143" i="3"/>
  <c r="Q143" i="3"/>
  <c r="O143" i="3"/>
  <c r="M143" i="3"/>
  <c r="AF142" i="3"/>
  <c r="O142" i="3"/>
  <c r="M142" i="3"/>
  <c r="AF141" i="3"/>
  <c r="O141" i="3"/>
  <c r="M141" i="3"/>
  <c r="AF140" i="3"/>
  <c r="Q140" i="3"/>
  <c r="O140" i="3"/>
  <c r="M140" i="3"/>
  <c r="AF139" i="3"/>
  <c r="S139" i="3"/>
  <c r="Q139" i="3"/>
  <c r="O139" i="3"/>
  <c r="M139" i="3"/>
  <c r="AF138" i="3"/>
  <c r="M138" i="3"/>
  <c r="AF137" i="3"/>
  <c r="O137" i="3"/>
  <c r="M137" i="3"/>
  <c r="AF136" i="3"/>
  <c r="S136" i="3"/>
  <c r="Q136" i="3"/>
  <c r="O136" i="3"/>
  <c r="M136" i="3"/>
  <c r="AF135" i="3"/>
  <c r="Y135" i="3"/>
  <c r="W135" i="3"/>
  <c r="U135" i="3"/>
  <c r="S135" i="3"/>
  <c r="Q135" i="3"/>
  <c r="O135" i="3"/>
  <c r="M135" i="3"/>
  <c r="AF134" i="3"/>
  <c r="M134" i="3"/>
  <c r="AF133" i="3"/>
  <c r="M133" i="3"/>
  <c r="AF132" i="3"/>
  <c r="M132" i="3"/>
  <c r="AF131" i="3"/>
  <c r="M131" i="3"/>
  <c r="AF130" i="3"/>
  <c r="M130" i="3"/>
  <c r="AF129" i="3"/>
  <c r="M129" i="3"/>
  <c r="AF128" i="3"/>
  <c r="M128" i="3"/>
  <c r="AF127" i="3"/>
  <c r="M127" i="3"/>
  <c r="AF126" i="3"/>
  <c r="O126" i="3"/>
  <c r="M126" i="3"/>
  <c r="AF125" i="3"/>
  <c r="M125" i="3"/>
  <c r="AF124" i="3"/>
  <c r="M124" i="3"/>
  <c r="AF123" i="3"/>
  <c r="M123" i="3"/>
  <c r="AF122" i="3"/>
  <c r="M122" i="3"/>
  <c r="AF121" i="3"/>
  <c r="M121" i="3"/>
  <c r="AF120" i="3"/>
  <c r="M120" i="3"/>
  <c r="AF119" i="3"/>
  <c r="M119" i="3"/>
  <c r="AF118" i="3"/>
  <c r="M118" i="3"/>
  <c r="AF117" i="3"/>
  <c r="M117" i="3"/>
  <c r="AF116" i="3"/>
  <c r="M116" i="3"/>
  <c r="AF115" i="3"/>
  <c r="M115" i="3"/>
  <c r="AF114" i="3"/>
  <c r="M114" i="3"/>
  <c r="AF113" i="3"/>
  <c r="Q113" i="3"/>
  <c r="O113" i="3"/>
  <c r="M113" i="3"/>
  <c r="AF112" i="3"/>
  <c r="O112" i="3"/>
  <c r="M112" i="3"/>
  <c r="AF111" i="3"/>
  <c r="S111" i="3"/>
  <c r="Q111" i="3"/>
  <c r="O111" i="3"/>
  <c r="M111" i="3"/>
  <c r="AF110" i="3"/>
  <c r="M110" i="3"/>
  <c r="AF109" i="3"/>
  <c r="M109" i="3"/>
  <c r="AF108" i="3"/>
  <c r="M108" i="3"/>
  <c r="AF107" i="3"/>
  <c r="M107" i="3"/>
  <c r="AF106" i="3"/>
  <c r="M106" i="3"/>
  <c r="AF105" i="3"/>
  <c r="M105" i="3"/>
  <c r="AF104" i="3"/>
  <c r="M104" i="3"/>
  <c r="AF103" i="3"/>
  <c r="M103" i="3"/>
  <c r="AF102" i="3"/>
  <c r="M102" i="3"/>
  <c r="AF101" i="3"/>
  <c r="M101" i="3"/>
  <c r="AF100" i="3"/>
  <c r="M100" i="3"/>
  <c r="AF99" i="3"/>
  <c r="M99" i="3"/>
  <c r="AF98" i="3"/>
  <c r="M98" i="3"/>
  <c r="AF97" i="3"/>
  <c r="M97" i="3"/>
  <c r="AF96" i="3"/>
  <c r="O96" i="3"/>
  <c r="M96" i="3"/>
  <c r="AF95" i="3"/>
  <c r="M95" i="3"/>
  <c r="AF94" i="3"/>
  <c r="Q94" i="3"/>
  <c r="O94" i="3"/>
  <c r="M94" i="3"/>
  <c r="AF93" i="3"/>
  <c r="M93" i="3"/>
  <c r="AF92" i="3"/>
  <c r="U92" i="3"/>
  <c r="S92" i="3"/>
  <c r="Q92" i="3"/>
  <c r="O92" i="3"/>
  <c r="M92" i="3"/>
  <c r="AF91" i="3"/>
  <c r="M91" i="3"/>
  <c r="AF90" i="3"/>
  <c r="M90" i="3"/>
  <c r="AF89" i="3"/>
  <c r="M89" i="3"/>
  <c r="AF88" i="3"/>
  <c r="M88" i="3"/>
  <c r="AF87" i="3"/>
  <c r="O87" i="3"/>
  <c r="M87" i="3"/>
  <c r="AF86" i="3"/>
  <c r="M86" i="3"/>
  <c r="AF85" i="3"/>
  <c r="M85" i="3"/>
  <c r="AF84" i="3"/>
  <c r="AE84" i="3"/>
  <c r="AC84" i="3"/>
  <c r="AA84" i="3"/>
  <c r="Y84" i="3"/>
  <c r="W84" i="3"/>
  <c r="U84" i="3"/>
  <c r="S84" i="3"/>
  <c r="Q84" i="3"/>
  <c r="O84" i="3"/>
  <c r="M84" i="3"/>
  <c r="AF83" i="3"/>
  <c r="M83" i="3"/>
  <c r="AF82" i="3"/>
  <c r="AE82" i="3"/>
  <c r="AC82" i="3"/>
  <c r="AA82" i="3"/>
  <c r="Y82" i="3"/>
  <c r="W82" i="3"/>
  <c r="U82" i="3"/>
  <c r="S82" i="3"/>
  <c r="Q82" i="3"/>
  <c r="O82" i="3"/>
  <c r="M82" i="3"/>
  <c r="AF81" i="3"/>
  <c r="M81" i="3"/>
  <c r="AF80" i="3"/>
  <c r="M80" i="3"/>
  <c r="AF79" i="3"/>
  <c r="Q79" i="3"/>
  <c r="O79" i="3"/>
  <c r="M79" i="3"/>
  <c r="AF78" i="3"/>
  <c r="M78" i="3"/>
  <c r="AF77" i="3"/>
  <c r="O77" i="3"/>
  <c r="M77" i="3"/>
  <c r="AF76" i="3"/>
  <c r="M76" i="3"/>
  <c r="AF75" i="3"/>
  <c r="M75" i="3"/>
  <c r="AF74" i="3"/>
  <c r="M74" i="3"/>
  <c r="AF73" i="3"/>
  <c r="M73" i="3"/>
  <c r="AF72" i="3"/>
  <c r="O72" i="3"/>
  <c r="M72" i="3"/>
  <c r="AF71" i="3"/>
  <c r="M71" i="3"/>
  <c r="AF70" i="3"/>
  <c r="M70" i="3"/>
  <c r="AF69" i="3"/>
  <c r="M69" i="3"/>
  <c r="AF68" i="3"/>
  <c r="O68" i="3"/>
  <c r="M68" i="3"/>
  <c r="AF67" i="3"/>
  <c r="M67" i="3"/>
  <c r="AF66" i="3"/>
  <c r="S66" i="3"/>
  <c r="Q66" i="3"/>
  <c r="O66" i="3"/>
  <c r="M66" i="3"/>
  <c r="AF65" i="3"/>
  <c r="M65" i="3"/>
  <c r="AF64" i="3"/>
  <c r="O64" i="3"/>
  <c r="M64" i="3"/>
  <c r="AF63" i="3"/>
  <c r="M63" i="3"/>
  <c r="AF62" i="3"/>
  <c r="M62" i="3"/>
  <c r="AF61" i="3"/>
  <c r="M61" i="3"/>
  <c r="AF60" i="3"/>
  <c r="M60" i="3"/>
  <c r="AF59" i="3"/>
  <c r="W59" i="3"/>
  <c r="U59" i="3"/>
  <c r="S59" i="3"/>
  <c r="Q59" i="3"/>
  <c r="O59" i="3"/>
  <c r="M59" i="3"/>
  <c r="AF58" i="3"/>
  <c r="M58" i="3"/>
  <c r="AF57" i="3"/>
  <c r="M57" i="3"/>
  <c r="AF56" i="3"/>
  <c r="AE56" i="3"/>
  <c r="AC56" i="3"/>
  <c r="AA56" i="3"/>
  <c r="Y56" i="3"/>
  <c r="W56" i="3"/>
  <c r="U56" i="3"/>
  <c r="S56" i="3"/>
  <c r="Q56" i="3"/>
  <c r="O56" i="3"/>
  <c r="M56" i="3"/>
  <c r="AF55" i="3"/>
  <c r="M55" i="3"/>
  <c r="AF54" i="3"/>
  <c r="M54" i="3"/>
  <c r="AF53" i="3"/>
  <c r="M53" i="3"/>
  <c r="AF52" i="3"/>
  <c r="O52" i="3"/>
  <c r="M52" i="3"/>
  <c r="AF51" i="3"/>
  <c r="M51" i="3"/>
  <c r="AF50" i="3"/>
  <c r="M50" i="3"/>
  <c r="AF49" i="3"/>
  <c r="M49" i="3"/>
  <c r="AF48" i="3"/>
  <c r="M48" i="3"/>
  <c r="AF47" i="3"/>
  <c r="M47" i="3"/>
  <c r="AF46" i="3"/>
  <c r="O46" i="3"/>
  <c r="M46" i="3"/>
  <c r="AF45" i="3"/>
  <c r="M45" i="3"/>
  <c r="AF44" i="3"/>
  <c r="M44" i="3"/>
  <c r="AF43" i="3"/>
  <c r="M43" i="3"/>
  <c r="AF42" i="3"/>
  <c r="O42" i="3"/>
  <c r="M42" i="3"/>
  <c r="AF41" i="3"/>
  <c r="M41" i="3"/>
  <c r="AF40" i="3"/>
  <c r="M40" i="3"/>
  <c r="AF39" i="3"/>
  <c r="O39" i="3"/>
  <c r="M39" i="3"/>
  <c r="AF38" i="3"/>
  <c r="M38" i="3"/>
  <c r="AF37" i="3"/>
  <c r="M37" i="3"/>
  <c r="AF36" i="3"/>
  <c r="M36" i="3"/>
  <c r="AF35" i="3"/>
  <c r="M35" i="3"/>
  <c r="AF34" i="3"/>
  <c r="O34" i="3"/>
  <c r="M34" i="3"/>
  <c r="AF33" i="3"/>
  <c r="M33" i="3"/>
  <c r="AF32" i="3"/>
  <c r="W32" i="3"/>
  <c r="U32" i="3"/>
  <c r="S32" i="3"/>
  <c r="Q32" i="3"/>
  <c r="O32" i="3"/>
  <c r="M32" i="3"/>
  <c r="AF31" i="3"/>
  <c r="M31" i="3"/>
  <c r="AF30" i="3"/>
  <c r="M30" i="3"/>
  <c r="AF29" i="3"/>
  <c r="M29" i="3"/>
  <c r="AF28" i="3"/>
  <c r="M28" i="3"/>
  <c r="AF27" i="3"/>
  <c r="M27" i="3"/>
  <c r="AF26" i="3"/>
  <c r="M26" i="3"/>
  <c r="AF25" i="3"/>
  <c r="M25" i="3"/>
  <c r="AF24" i="3"/>
  <c r="M24" i="3"/>
  <c r="AF23" i="3"/>
  <c r="AE23" i="3"/>
  <c r="AC23" i="3"/>
  <c r="AA23" i="3"/>
  <c r="Y23" i="3"/>
  <c r="W23" i="3"/>
  <c r="U23" i="3"/>
  <c r="S23" i="3"/>
  <c r="Q23" i="3"/>
  <c r="O23" i="3"/>
  <c r="M23" i="3"/>
  <c r="E6" i="3"/>
  <c r="AR1168" i="2"/>
  <c r="O1168" i="2"/>
  <c r="AR1167" i="2"/>
  <c r="W1167" i="2"/>
  <c r="U1167" i="2"/>
  <c r="S1167" i="2"/>
  <c r="Q1167" i="2"/>
  <c r="O1167" i="2"/>
  <c r="AR1166" i="2"/>
  <c r="O1166" i="2"/>
  <c r="AR1165" i="2"/>
  <c r="O1165" i="2"/>
  <c r="AR1164" i="2"/>
  <c r="O1164" i="2"/>
  <c r="AR1163" i="2"/>
  <c r="O1163" i="2"/>
  <c r="AR1162" i="2"/>
  <c r="O1162" i="2"/>
  <c r="AR1161" i="2"/>
  <c r="O1161" i="2"/>
  <c r="AR1160" i="2"/>
  <c r="O1160" i="2"/>
  <c r="AR1159" i="2"/>
  <c r="O1159" i="2"/>
  <c r="AR1158" i="2"/>
  <c r="O1158" i="2"/>
  <c r="AR1157" i="2"/>
  <c r="O1157" i="2"/>
  <c r="AR1156" i="2"/>
  <c r="O1156" i="2"/>
  <c r="AR1155" i="2"/>
  <c r="O1155" i="2"/>
  <c r="AR1154" i="2"/>
  <c r="O1154" i="2"/>
  <c r="AR1153" i="2"/>
  <c r="O1153" i="2"/>
  <c r="AR1152" i="2"/>
  <c r="O1152" i="2"/>
  <c r="AR1151" i="2"/>
  <c r="O1151" i="2"/>
  <c r="AR1150" i="2"/>
  <c r="O1150" i="2"/>
  <c r="AR1149" i="2"/>
  <c r="O1149" i="2"/>
  <c r="AR1148" i="2"/>
  <c r="O1148" i="2"/>
  <c r="AR1147" i="2"/>
  <c r="O1147" i="2"/>
  <c r="AR1146" i="2"/>
  <c r="O1146" i="2"/>
  <c r="AR1145" i="2"/>
  <c r="O1145" i="2"/>
  <c r="AR1144" i="2"/>
  <c r="O1144" i="2"/>
  <c r="AR1143" i="2"/>
  <c r="O1143" i="2"/>
  <c r="AR1142" i="2"/>
  <c r="O1142" i="2"/>
  <c r="AR1141" i="2"/>
  <c r="O1141" i="2"/>
  <c r="AR1140" i="2"/>
  <c r="O1140" i="2"/>
  <c r="AR1139" i="2"/>
  <c r="O1139" i="2"/>
  <c r="AR1138" i="2"/>
  <c r="O1138" i="2"/>
  <c r="AR1137" i="2"/>
  <c r="O1137" i="2"/>
  <c r="AR1136" i="2"/>
  <c r="O1136" i="2"/>
  <c r="AR1135" i="2"/>
  <c r="O1135" i="2"/>
  <c r="AR1134" i="2"/>
  <c r="O1134" i="2"/>
  <c r="AR1133" i="2"/>
  <c r="O1133" i="2"/>
  <c r="AR1132" i="2"/>
  <c r="O1132" i="2"/>
  <c r="AR1131" i="2"/>
  <c r="O1131" i="2"/>
  <c r="AR1130" i="2"/>
  <c r="O1130" i="2"/>
  <c r="AR1129" i="2"/>
  <c r="O1129" i="2"/>
  <c r="AR1128" i="2"/>
  <c r="O1128" i="2"/>
  <c r="AR1127" i="2"/>
  <c r="O1127" i="2"/>
  <c r="AR1126" i="2"/>
  <c r="O1126" i="2"/>
  <c r="AR1125" i="2"/>
  <c r="O1125" i="2"/>
  <c r="AR1124" i="2"/>
  <c r="O1124" i="2"/>
  <c r="AR1123" i="2"/>
  <c r="O1123" i="2"/>
  <c r="AR1122" i="2"/>
  <c r="O1122" i="2"/>
  <c r="AR1121" i="2"/>
  <c r="O1121" i="2"/>
  <c r="AR1120" i="2"/>
  <c r="O1120" i="2"/>
  <c r="AR1119" i="2"/>
  <c r="O1119" i="2"/>
  <c r="AR1118" i="2"/>
  <c r="O1118" i="2"/>
  <c r="AR1117" i="2"/>
  <c r="O1117" i="2"/>
  <c r="AR1116" i="2"/>
  <c r="O1116" i="2"/>
  <c r="AR1115" i="2"/>
  <c r="O1115" i="2"/>
  <c r="AR1114" i="2"/>
  <c r="O1114" i="2"/>
  <c r="AR1113" i="2"/>
  <c r="AQ1113" i="2"/>
  <c r="AO1113" i="2"/>
  <c r="AM1113" i="2"/>
  <c r="AK1113" i="2"/>
  <c r="AI1113" i="2"/>
  <c r="AG1113" i="2"/>
  <c r="AE1113" i="2"/>
  <c r="AC1113" i="2"/>
  <c r="AA1113" i="2"/>
  <c r="Y1113" i="2"/>
  <c r="W1113" i="2"/>
  <c r="U1113" i="2"/>
  <c r="S1113" i="2"/>
  <c r="Q1113" i="2"/>
  <c r="O1113" i="2"/>
  <c r="AR1112" i="2"/>
  <c r="U1112" i="2"/>
  <c r="S1112" i="2"/>
  <c r="Q1112" i="2"/>
  <c r="O1112" i="2"/>
  <c r="AR1111" i="2"/>
  <c r="U1111" i="2"/>
  <c r="S1111" i="2"/>
  <c r="Q1111" i="2"/>
  <c r="O1111" i="2"/>
  <c r="AR1110" i="2"/>
  <c r="U1110" i="2"/>
  <c r="S1110" i="2"/>
  <c r="Q1110" i="2"/>
  <c r="O1110" i="2"/>
  <c r="AR1109" i="2"/>
  <c r="O1109" i="2"/>
  <c r="AR1108" i="2"/>
  <c r="O1108" i="2"/>
  <c r="AR1107" i="2"/>
  <c r="O1107" i="2"/>
  <c r="AR1106" i="2"/>
  <c r="O1106" i="2"/>
  <c r="AR1105" i="2"/>
  <c r="O1105" i="2"/>
  <c r="AR1104" i="2"/>
  <c r="O1104" i="2"/>
  <c r="AR1103" i="2"/>
  <c r="AO1103" i="2"/>
  <c r="AM1103" i="2"/>
  <c r="AK1103" i="2"/>
  <c r="AI1103" i="2"/>
  <c r="AG1103" i="2"/>
  <c r="AE1103" i="2"/>
  <c r="AC1103" i="2"/>
  <c r="AA1103" i="2"/>
  <c r="Y1103" i="2"/>
  <c r="W1103" i="2"/>
  <c r="U1103" i="2"/>
  <c r="S1103" i="2"/>
  <c r="Q1103" i="2"/>
  <c r="O1103" i="2"/>
  <c r="AR1102" i="2"/>
  <c r="AQ1102" i="2"/>
  <c r="AO1102" i="2"/>
  <c r="AM1102" i="2"/>
  <c r="AK1102" i="2"/>
  <c r="AI1102" i="2"/>
  <c r="AG1102" i="2"/>
  <c r="AE1102" i="2"/>
  <c r="AC1102" i="2"/>
  <c r="AA1102" i="2"/>
  <c r="Y1102" i="2"/>
  <c r="W1102" i="2"/>
  <c r="U1102" i="2"/>
  <c r="S1102" i="2"/>
  <c r="Q1102" i="2"/>
  <c r="O1102" i="2"/>
  <c r="AR1101" i="2"/>
  <c r="O1101" i="2"/>
  <c r="AR1100" i="2"/>
  <c r="O1100" i="2"/>
  <c r="AR1099" i="2"/>
  <c r="O1099" i="2"/>
  <c r="AR1098" i="2"/>
  <c r="O1098" i="2"/>
  <c r="AR1097" i="2"/>
  <c r="O1097" i="2"/>
  <c r="AR1096" i="2"/>
  <c r="O1096" i="2"/>
  <c r="AR1095" i="2"/>
  <c r="U1095" i="2"/>
  <c r="S1095" i="2"/>
  <c r="Q1095" i="2"/>
  <c r="O1095" i="2"/>
  <c r="AR1094" i="2"/>
  <c r="O1094" i="2"/>
  <c r="AR1093" i="2"/>
  <c r="AC1093" i="2"/>
  <c r="AA1093" i="2"/>
  <c r="Y1093" i="2"/>
  <c r="W1093" i="2"/>
  <c r="U1093" i="2"/>
  <c r="S1093" i="2"/>
  <c r="Q1093" i="2"/>
  <c r="O1093" i="2"/>
  <c r="AR1092" i="2"/>
  <c r="AQ1092" i="2"/>
  <c r="AO1092" i="2"/>
  <c r="AM1092" i="2"/>
  <c r="AK1092" i="2"/>
  <c r="AI1092" i="2"/>
  <c r="AG1092" i="2"/>
  <c r="AE1092" i="2"/>
  <c r="AC1092" i="2"/>
  <c r="AA1092" i="2"/>
  <c r="Y1092" i="2"/>
  <c r="W1092" i="2"/>
  <c r="U1092" i="2"/>
  <c r="S1092" i="2"/>
  <c r="Q1092" i="2"/>
  <c r="O1092" i="2"/>
  <c r="AR1091" i="2"/>
  <c r="AQ1091" i="2"/>
  <c r="AO1091" i="2"/>
  <c r="AM1091" i="2"/>
  <c r="AK1091" i="2"/>
  <c r="AI1091" i="2"/>
  <c r="AG1091" i="2"/>
  <c r="AE1091" i="2"/>
  <c r="AC1091" i="2"/>
  <c r="AA1091" i="2"/>
  <c r="Y1091" i="2"/>
  <c r="W1091" i="2"/>
  <c r="U1091" i="2"/>
  <c r="S1091" i="2"/>
  <c r="Q1091" i="2"/>
  <c r="O1091" i="2"/>
  <c r="AR1090" i="2"/>
  <c r="AQ1090" i="2"/>
  <c r="AO1090" i="2"/>
  <c r="AM1090" i="2"/>
  <c r="AK1090" i="2"/>
  <c r="AI1090" i="2"/>
  <c r="AG1090" i="2"/>
  <c r="AE1090" i="2"/>
  <c r="AC1090" i="2"/>
  <c r="AA1090" i="2"/>
  <c r="Y1090" i="2"/>
  <c r="W1090" i="2"/>
  <c r="U1090" i="2"/>
  <c r="S1090" i="2"/>
  <c r="Q1090" i="2"/>
  <c r="O1090" i="2"/>
  <c r="AR1089" i="2"/>
  <c r="AQ1089" i="2"/>
  <c r="AO1089" i="2"/>
  <c r="AM1089" i="2"/>
  <c r="AK1089" i="2"/>
  <c r="AI1089" i="2"/>
  <c r="AG1089" i="2"/>
  <c r="AE1089" i="2"/>
  <c r="AC1089" i="2"/>
  <c r="AA1089" i="2"/>
  <c r="Y1089" i="2"/>
  <c r="W1089" i="2"/>
  <c r="U1089" i="2"/>
  <c r="S1089" i="2"/>
  <c r="Q1089" i="2"/>
  <c r="O1089" i="2"/>
  <c r="AR1088" i="2"/>
  <c r="AQ1088" i="2"/>
  <c r="AO1088" i="2"/>
  <c r="AM1088" i="2"/>
  <c r="AK1088" i="2"/>
  <c r="AI1088" i="2"/>
  <c r="AG1088" i="2"/>
  <c r="AE1088" i="2"/>
  <c r="AC1088" i="2"/>
  <c r="AA1088" i="2"/>
  <c r="Y1088" i="2"/>
  <c r="W1088" i="2"/>
  <c r="U1088" i="2"/>
  <c r="S1088" i="2"/>
  <c r="Q1088" i="2"/>
  <c r="O1088" i="2"/>
  <c r="AR1087" i="2"/>
  <c r="AQ1087" i="2"/>
  <c r="AO1087" i="2"/>
  <c r="AM1087" i="2"/>
  <c r="AK1087" i="2"/>
  <c r="AI1087" i="2"/>
  <c r="AG1087" i="2"/>
  <c r="AE1087" i="2"/>
  <c r="AC1087" i="2"/>
  <c r="AA1087" i="2"/>
  <c r="Y1087" i="2"/>
  <c r="W1087" i="2"/>
  <c r="U1087" i="2"/>
  <c r="S1087" i="2"/>
  <c r="Q1087" i="2"/>
  <c r="O1087" i="2"/>
  <c r="AR1086" i="2"/>
  <c r="AQ1086" i="2"/>
  <c r="AO1086" i="2"/>
  <c r="AM1086" i="2"/>
  <c r="AK1086" i="2"/>
  <c r="AI1086" i="2"/>
  <c r="AG1086" i="2"/>
  <c r="AE1086" i="2"/>
  <c r="AC1086" i="2"/>
  <c r="AA1086" i="2"/>
  <c r="Y1086" i="2"/>
  <c r="W1086" i="2"/>
  <c r="U1086" i="2"/>
  <c r="S1086" i="2"/>
  <c r="Q1086" i="2"/>
  <c r="O1086" i="2"/>
  <c r="AR1085" i="2"/>
  <c r="AQ1085" i="2"/>
  <c r="AO1085" i="2"/>
  <c r="AM1085" i="2"/>
  <c r="AK1085" i="2"/>
  <c r="AI1085" i="2"/>
  <c r="AG1085" i="2"/>
  <c r="AE1085" i="2"/>
  <c r="AC1085" i="2"/>
  <c r="AA1085" i="2"/>
  <c r="Y1085" i="2"/>
  <c r="W1085" i="2"/>
  <c r="U1085" i="2"/>
  <c r="S1085" i="2"/>
  <c r="Q1085" i="2"/>
  <c r="O1085" i="2"/>
  <c r="AR1084" i="2"/>
  <c r="O1084" i="2"/>
  <c r="AR1083" i="2"/>
  <c r="O1083" i="2"/>
  <c r="AR1082" i="2"/>
  <c r="O1082" i="2"/>
  <c r="AR1081" i="2"/>
  <c r="O1081" i="2"/>
  <c r="AR1080" i="2"/>
  <c r="O1080" i="2"/>
  <c r="AR1079" i="2"/>
  <c r="O1079" i="2"/>
  <c r="AR1078" i="2"/>
  <c r="O1078" i="2"/>
  <c r="AR1077" i="2"/>
  <c r="O1077" i="2"/>
  <c r="AR1076" i="2"/>
  <c r="O1076" i="2"/>
  <c r="AR1075" i="2"/>
  <c r="O1075" i="2"/>
  <c r="AR1074" i="2"/>
  <c r="O1074" i="2"/>
  <c r="AR1073" i="2"/>
  <c r="O1073" i="2"/>
  <c r="AR1072" i="2"/>
  <c r="O1072" i="2"/>
  <c r="AR1071" i="2"/>
  <c r="O1071" i="2"/>
  <c r="AR1070" i="2"/>
  <c r="O1070" i="2"/>
  <c r="AR1069" i="2"/>
  <c r="O1069" i="2"/>
  <c r="AR1068" i="2"/>
  <c r="O1068" i="2"/>
  <c r="AR1067" i="2"/>
  <c r="O1067" i="2"/>
  <c r="AR1066" i="2"/>
  <c r="O1066" i="2"/>
  <c r="AR1065" i="2"/>
  <c r="O1065" i="2"/>
  <c r="AR1064" i="2"/>
  <c r="O1064" i="2"/>
  <c r="AR1063" i="2"/>
  <c r="O1063" i="2"/>
  <c r="AR1062" i="2"/>
  <c r="O1062" i="2"/>
  <c r="AR1061" i="2"/>
  <c r="O1061" i="2"/>
  <c r="AR1060" i="2"/>
  <c r="O1060" i="2"/>
  <c r="AR1059" i="2"/>
  <c r="O1059" i="2"/>
  <c r="AR1058" i="2"/>
  <c r="O1058" i="2"/>
  <c r="AR1057" i="2"/>
  <c r="O1057" i="2"/>
  <c r="AR1056" i="2"/>
  <c r="O1056" i="2"/>
  <c r="AR1055" i="2"/>
  <c r="O1055" i="2"/>
  <c r="AR1054" i="2"/>
  <c r="O1054" i="2"/>
  <c r="AR1053" i="2"/>
  <c r="O1053" i="2"/>
  <c r="AR1052" i="2"/>
  <c r="O1052" i="2"/>
  <c r="AR1051" i="2"/>
  <c r="O1051" i="2"/>
  <c r="AR1050" i="2"/>
  <c r="O1050" i="2"/>
  <c r="AR1049" i="2"/>
  <c r="O1049" i="2"/>
  <c r="AR1048" i="2"/>
  <c r="O1048" i="2"/>
  <c r="AR1047" i="2"/>
  <c r="O1047" i="2"/>
  <c r="AR1046" i="2"/>
  <c r="O1046" i="2"/>
  <c r="AR1045" i="2"/>
  <c r="O1045" i="2"/>
  <c r="AR1044" i="2"/>
  <c r="O1044" i="2"/>
  <c r="AR1043" i="2"/>
  <c r="O1043" i="2"/>
  <c r="AR1042" i="2"/>
  <c r="Q1042" i="2"/>
  <c r="O1042" i="2"/>
  <c r="AR1041" i="2"/>
  <c r="O1041" i="2"/>
  <c r="AR1040" i="2"/>
  <c r="O1040" i="2"/>
  <c r="AR1039" i="2"/>
  <c r="O1039" i="2"/>
  <c r="AR1038" i="2"/>
  <c r="O1038" i="2"/>
  <c r="AR1037" i="2"/>
  <c r="O1037" i="2"/>
  <c r="AR1036" i="2"/>
  <c r="O1036" i="2"/>
  <c r="AR1035" i="2"/>
  <c r="O1035" i="2"/>
  <c r="AR1034" i="2"/>
  <c r="O1034" i="2"/>
  <c r="AR1033" i="2"/>
  <c r="O1033" i="2"/>
  <c r="AR1032" i="2"/>
  <c r="O1032" i="2"/>
  <c r="AR1031" i="2"/>
  <c r="O1031" i="2"/>
  <c r="AR1030" i="2"/>
  <c r="O1030" i="2"/>
  <c r="AR1029" i="2"/>
  <c r="O1029" i="2"/>
  <c r="AR1028" i="2"/>
  <c r="O1028" i="2"/>
  <c r="AR1027" i="2"/>
  <c r="O1027" i="2"/>
  <c r="AR1026" i="2"/>
  <c r="O1026" i="2"/>
  <c r="AR1025" i="2"/>
  <c r="O1025" i="2"/>
  <c r="AR1024" i="2"/>
  <c r="O1024" i="2"/>
  <c r="AR1023" i="2"/>
  <c r="O1023" i="2"/>
  <c r="AR1022" i="2"/>
  <c r="O1022" i="2"/>
  <c r="AR1021" i="2"/>
  <c r="O1021" i="2"/>
  <c r="AR1020" i="2"/>
  <c r="O1020" i="2"/>
  <c r="AR1019" i="2"/>
  <c r="O1019" i="2"/>
  <c r="AR1018" i="2"/>
  <c r="O1018" i="2"/>
  <c r="AR1017" i="2"/>
  <c r="O1017" i="2"/>
  <c r="AR1016" i="2"/>
  <c r="O1016" i="2"/>
  <c r="AR1015" i="2"/>
  <c r="O1015" i="2"/>
  <c r="AR1014" i="2"/>
  <c r="AQ1014" i="2"/>
  <c r="AO1014" i="2"/>
  <c r="AM1014" i="2"/>
  <c r="AK1014" i="2"/>
  <c r="AI1014" i="2"/>
  <c r="AG1014" i="2"/>
  <c r="AE1014" i="2"/>
  <c r="AC1014" i="2"/>
  <c r="AA1014" i="2"/>
  <c r="Y1014" i="2"/>
  <c r="W1014" i="2"/>
  <c r="U1014" i="2"/>
  <c r="S1014" i="2"/>
  <c r="Q1014" i="2"/>
  <c r="O1014" i="2"/>
  <c r="AR1013" i="2"/>
  <c r="AA1013" i="2"/>
  <c r="Y1013" i="2"/>
  <c r="W1013" i="2"/>
  <c r="U1013" i="2"/>
  <c r="S1013" i="2"/>
  <c r="Q1013" i="2"/>
  <c r="O1013" i="2"/>
  <c r="AR1012" i="2"/>
  <c r="O1012" i="2"/>
  <c r="AR1011" i="2"/>
  <c r="AA1011" i="2"/>
  <c r="Y1011" i="2"/>
  <c r="W1011" i="2"/>
  <c r="U1011" i="2"/>
  <c r="S1011" i="2"/>
  <c r="Q1011" i="2"/>
  <c r="O1011" i="2"/>
  <c r="AR1010" i="2"/>
  <c r="AQ1010" i="2"/>
  <c r="AO1010" i="2"/>
  <c r="AM1010" i="2"/>
  <c r="AK1010" i="2"/>
  <c r="AI1010" i="2"/>
  <c r="AG1010" i="2"/>
  <c r="AE1010" i="2"/>
  <c r="AC1010" i="2"/>
  <c r="AA1010" i="2"/>
  <c r="Y1010" i="2"/>
  <c r="W1010" i="2"/>
  <c r="U1010" i="2"/>
  <c r="S1010" i="2"/>
  <c r="Q1010" i="2"/>
  <c r="O1010" i="2"/>
  <c r="AR1009" i="2"/>
  <c r="O1009" i="2"/>
  <c r="AR1008" i="2"/>
  <c r="U1008" i="2"/>
  <c r="S1008" i="2"/>
  <c r="Q1008" i="2"/>
  <c r="O1008" i="2"/>
  <c r="AR1007" i="2"/>
  <c r="S1007" i="2"/>
  <c r="Q1007" i="2"/>
  <c r="O1007" i="2"/>
  <c r="AR1006" i="2"/>
  <c r="AQ1006" i="2"/>
  <c r="AO1006" i="2"/>
  <c r="AM1006" i="2"/>
  <c r="AK1006" i="2"/>
  <c r="AI1006" i="2"/>
  <c r="AG1006" i="2"/>
  <c r="AE1006" i="2"/>
  <c r="AC1006" i="2"/>
  <c r="AA1006" i="2"/>
  <c r="Y1006" i="2"/>
  <c r="W1006" i="2"/>
  <c r="U1006" i="2"/>
  <c r="S1006" i="2"/>
  <c r="Q1006" i="2"/>
  <c r="O1006" i="2"/>
  <c r="AR1005" i="2"/>
  <c r="AQ1005" i="2"/>
  <c r="AO1005" i="2"/>
  <c r="AM1005" i="2"/>
  <c r="AK1005" i="2"/>
  <c r="AI1005" i="2"/>
  <c r="AG1005" i="2"/>
  <c r="AE1005" i="2"/>
  <c r="AC1005" i="2"/>
  <c r="AA1005" i="2"/>
  <c r="Y1005" i="2"/>
  <c r="W1005" i="2"/>
  <c r="U1005" i="2"/>
  <c r="S1005" i="2"/>
  <c r="Q1005" i="2"/>
  <c r="O1005" i="2"/>
  <c r="AR1004" i="2"/>
  <c r="AQ1004" i="2"/>
  <c r="AO1004" i="2"/>
  <c r="AM1004" i="2"/>
  <c r="AK1004" i="2"/>
  <c r="AI1004" i="2"/>
  <c r="AG1004" i="2"/>
  <c r="AE1004" i="2"/>
  <c r="AC1004" i="2"/>
  <c r="AA1004" i="2"/>
  <c r="Y1004" i="2"/>
  <c r="W1004" i="2"/>
  <c r="U1004" i="2"/>
  <c r="S1004" i="2"/>
  <c r="Q1004" i="2"/>
  <c r="O1004" i="2"/>
  <c r="AR1003" i="2"/>
  <c r="U1003" i="2"/>
  <c r="S1003" i="2"/>
  <c r="Q1003" i="2"/>
  <c r="O1003" i="2"/>
  <c r="AR1002" i="2"/>
  <c r="AM1002" i="2"/>
  <c r="AK1002" i="2"/>
  <c r="AI1002" i="2"/>
  <c r="AG1002" i="2"/>
  <c r="AE1002" i="2"/>
  <c r="AC1002" i="2"/>
  <c r="AA1002" i="2"/>
  <c r="Y1002" i="2"/>
  <c r="W1002" i="2"/>
  <c r="U1002" i="2"/>
  <c r="S1002" i="2"/>
  <c r="Q1002" i="2"/>
  <c r="O1002" i="2"/>
  <c r="AR1001" i="2"/>
  <c r="O1001" i="2"/>
  <c r="AR1000" i="2"/>
  <c r="O1000" i="2"/>
  <c r="AR999" i="2"/>
  <c r="O999" i="2"/>
  <c r="AR998" i="2"/>
  <c r="O998" i="2"/>
  <c r="AR997" i="2"/>
  <c r="S997" i="2"/>
  <c r="Q997" i="2"/>
  <c r="O997" i="2"/>
  <c r="AR996" i="2"/>
  <c r="Q996" i="2"/>
  <c r="O996" i="2"/>
  <c r="AR995" i="2"/>
  <c r="AQ995" i="2"/>
  <c r="AO995" i="2"/>
  <c r="AM995" i="2"/>
  <c r="AK995" i="2"/>
  <c r="AI995" i="2"/>
  <c r="AG995" i="2"/>
  <c r="AE995" i="2"/>
  <c r="AC995" i="2"/>
  <c r="AA995" i="2"/>
  <c r="Y995" i="2"/>
  <c r="W995" i="2"/>
  <c r="U995" i="2"/>
  <c r="S995" i="2"/>
  <c r="Q995" i="2"/>
  <c r="O995" i="2"/>
  <c r="AR994" i="2"/>
  <c r="O994" i="2"/>
  <c r="AR993" i="2"/>
  <c r="Q993" i="2"/>
  <c r="O993" i="2"/>
  <c r="AR992" i="2"/>
  <c r="W992" i="2"/>
  <c r="U992" i="2"/>
  <c r="S992" i="2"/>
  <c r="Q992" i="2"/>
  <c r="O992" i="2"/>
  <c r="AR991" i="2"/>
  <c r="Q991" i="2"/>
  <c r="O991" i="2"/>
  <c r="AR990" i="2"/>
  <c r="O990" i="2"/>
  <c r="AR989" i="2"/>
  <c r="O989" i="2"/>
  <c r="AR988" i="2"/>
  <c r="O988" i="2"/>
  <c r="AR987" i="2"/>
  <c r="U987" i="2"/>
  <c r="S987" i="2"/>
  <c r="Q987" i="2"/>
  <c r="O987" i="2"/>
  <c r="AR986" i="2"/>
  <c r="O986" i="2"/>
  <c r="AR985" i="2"/>
  <c r="O985" i="2"/>
  <c r="AR984" i="2"/>
  <c r="O984" i="2"/>
  <c r="AR983" i="2"/>
  <c r="O983" i="2"/>
  <c r="AR982" i="2"/>
  <c r="O982" i="2"/>
  <c r="AR981" i="2"/>
  <c r="O981" i="2"/>
  <c r="AR980" i="2"/>
  <c r="O980" i="2"/>
  <c r="AR979" i="2"/>
  <c r="O979" i="2"/>
  <c r="AR978" i="2"/>
  <c r="O978" i="2"/>
  <c r="AR977" i="2"/>
  <c r="O977" i="2"/>
  <c r="AR976" i="2"/>
  <c r="O976" i="2"/>
  <c r="AR975" i="2"/>
  <c r="O975" i="2"/>
  <c r="AR974" i="2"/>
  <c r="O974" i="2"/>
  <c r="AR973" i="2"/>
  <c r="O973" i="2"/>
  <c r="AR972" i="2"/>
  <c r="O972" i="2"/>
  <c r="AR971" i="2"/>
  <c r="O971" i="2"/>
  <c r="AR970" i="2"/>
  <c r="O970" i="2"/>
  <c r="AR969" i="2"/>
  <c r="O969" i="2"/>
  <c r="AR968" i="2"/>
  <c r="O968" i="2"/>
  <c r="AR967" i="2"/>
  <c r="O967" i="2"/>
  <c r="AR966" i="2"/>
  <c r="O966" i="2"/>
  <c r="AR965" i="2"/>
  <c r="O965" i="2"/>
  <c r="AR964" i="2"/>
  <c r="U964" i="2"/>
  <c r="S964" i="2"/>
  <c r="Q964" i="2"/>
  <c r="O964" i="2"/>
  <c r="AR963" i="2"/>
  <c r="O963" i="2"/>
  <c r="AR962" i="2"/>
  <c r="O962" i="2"/>
  <c r="AR961" i="2"/>
  <c r="O961" i="2"/>
  <c r="AR960" i="2"/>
  <c r="O960" i="2"/>
  <c r="AR959" i="2"/>
  <c r="O959" i="2"/>
  <c r="AR958" i="2"/>
  <c r="O958" i="2"/>
  <c r="AR957" i="2"/>
  <c r="O957" i="2"/>
  <c r="AR956" i="2"/>
  <c r="O956" i="2"/>
  <c r="AR955" i="2"/>
  <c r="S955" i="2"/>
  <c r="Q955" i="2"/>
  <c r="O955" i="2"/>
  <c r="AR954" i="2"/>
  <c r="AQ954" i="2"/>
  <c r="AO954" i="2"/>
  <c r="AM954" i="2"/>
  <c r="AK954" i="2"/>
  <c r="AI954" i="2"/>
  <c r="AG954" i="2"/>
  <c r="AE954" i="2"/>
  <c r="AC954" i="2"/>
  <c r="AA954" i="2"/>
  <c r="Y954" i="2"/>
  <c r="W954" i="2"/>
  <c r="U954" i="2"/>
  <c r="S954" i="2"/>
  <c r="Q954" i="2"/>
  <c r="O954" i="2"/>
  <c r="AR953" i="2"/>
  <c r="O953" i="2"/>
  <c r="AR952" i="2"/>
  <c r="Q952" i="2"/>
  <c r="O952" i="2"/>
  <c r="AR951" i="2"/>
  <c r="Q951" i="2"/>
  <c r="O951" i="2"/>
  <c r="AR950" i="2"/>
  <c r="Q950" i="2"/>
  <c r="O950" i="2"/>
  <c r="AR949" i="2"/>
  <c r="O949" i="2"/>
  <c r="AR948" i="2"/>
  <c r="O948" i="2"/>
  <c r="AR947" i="2"/>
  <c r="U947" i="2"/>
  <c r="S947" i="2"/>
  <c r="Q947" i="2"/>
  <c r="O947" i="2"/>
  <c r="AR946" i="2"/>
  <c r="O946" i="2"/>
  <c r="AR945" i="2"/>
  <c r="AG945" i="2"/>
  <c r="AE945" i="2"/>
  <c r="AC945" i="2"/>
  <c r="AA945" i="2"/>
  <c r="Y945" i="2"/>
  <c r="W945" i="2"/>
  <c r="U945" i="2"/>
  <c r="S945" i="2"/>
  <c r="Q945" i="2"/>
  <c r="O945" i="2"/>
  <c r="AR944" i="2"/>
  <c r="O944" i="2"/>
  <c r="AR943" i="2"/>
  <c r="AQ943" i="2"/>
  <c r="AO943" i="2"/>
  <c r="AM943" i="2"/>
  <c r="AK943" i="2"/>
  <c r="AI943" i="2"/>
  <c r="AG943" i="2"/>
  <c r="AE943" i="2"/>
  <c r="AC943" i="2"/>
  <c r="AA943" i="2"/>
  <c r="Y943" i="2"/>
  <c r="W943" i="2"/>
  <c r="U943" i="2"/>
  <c r="S943" i="2"/>
  <c r="Q943" i="2"/>
  <c r="O943" i="2"/>
  <c r="AR942" i="2"/>
  <c r="O942" i="2"/>
  <c r="AR941" i="2"/>
  <c r="O941" i="2"/>
  <c r="AR940" i="2"/>
  <c r="O940" i="2"/>
  <c r="AR939" i="2"/>
  <c r="Q939" i="2"/>
  <c r="O939" i="2"/>
  <c r="AR938" i="2"/>
  <c r="S938" i="2"/>
  <c r="Q938" i="2"/>
  <c r="O938" i="2"/>
  <c r="AR937" i="2"/>
  <c r="Q937" i="2"/>
  <c r="O937" i="2"/>
  <c r="AR936" i="2"/>
  <c r="Q936" i="2"/>
  <c r="O936" i="2"/>
  <c r="AR935" i="2"/>
  <c r="Q935" i="2"/>
  <c r="O935" i="2"/>
  <c r="AR934" i="2"/>
  <c r="U934" i="2"/>
  <c r="S934" i="2"/>
  <c r="Q934" i="2"/>
  <c r="O934" i="2"/>
  <c r="AR933" i="2"/>
  <c r="U933" i="2"/>
  <c r="S933" i="2"/>
  <c r="Q933" i="2"/>
  <c r="O933" i="2"/>
  <c r="AR932" i="2"/>
  <c r="S932" i="2"/>
  <c r="Q932" i="2"/>
  <c r="O932" i="2"/>
  <c r="AR931" i="2"/>
  <c r="O931" i="2"/>
  <c r="AR930" i="2"/>
  <c r="O930" i="2"/>
  <c r="AR929" i="2"/>
  <c r="O929" i="2"/>
  <c r="AR928" i="2"/>
  <c r="O928" i="2"/>
  <c r="AR927" i="2"/>
  <c r="O927" i="2"/>
  <c r="AR926" i="2"/>
  <c r="O926" i="2"/>
  <c r="AR925" i="2"/>
  <c r="O925" i="2"/>
  <c r="AR924" i="2"/>
  <c r="O924" i="2"/>
  <c r="AR923" i="2"/>
  <c r="O923" i="2"/>
  <c r="AR922" i="2"/>
  <c r="O922" i="2"/>
  <c r="AR921" i="2"/>
  <c r="O921" i="2"/>
  <c r="AR920" i="2"/>
  <c r="O920" i="2"/>
  <c r="AR919" i="2"/>
  <c r="O919" i="2"/>
  <c r="AR918" i="2"/>
  <c r="O918" i="2"/>
  <c r="AR917" i="2"/>
  <c r="O917" i="2"/>
  <c r="AR916" i="2"/>
  <c r="O916" i="2"/>
  <c r="AR915" i="2"/>
  <c r="O915" i="2"/>
  <c r="AR914" i="2"/>
  <c r="O914" i="2"/>
  <c r="AR913" i="2"/>
  <c r="O913" i="2"/>
  <c r="AR912" i="2"/>
  <c r="O912" i="2"/>
  <c r="AR911" i="2"/>
  <c r="O911" i="2"/>
  <c r="AR910" i="2"/>
  <c r="O910" i="2"/>
  <c r="AR909" i="2"/>
  <c r="O909" i="2"/>
  <c r="AR908" i="2"/>
  <c r="O908" i="2"/>
  <c r="AR907" i="2"/>
  <c r="O907" i="2"/>
  <c r="AR906" i="2"/>
  <c r="O906" i="2"/>
  <c r="AR905" i="2"/>
  <c r="AQ905" i="2"/>
  <c r="AO905" i="2"/>
  <c r="AM905" i="2"/>
  <c r="AK905" i="2"/>
  <c r="AI905" i="2"/>
  <c r="AG905" i="2"/>
  <c r="AE905" i="2"/>
  <c r="AC905" i="2"/>
  <c r="AA905" i="2"/>
  <c r="Y905" i="2"/>
  <c r="W905" i="2"/>
  <c r="U905" i="2"/>
  <c r="S905" i="2"/>
  <c r="Q905" i="2"/>
  <c r="O905" i="2"/>
  <c r="AR904" i="2"/>
  <c r="O904" i="2"/>
  <c r="AR903" i="2"/>
  <c r="Q903" i="2"/>
  <c r="O903" i="2"/>
  <c r="AR902" i="2"/>
  <c r="O902" i="2"/>
  <c r="AR901" i="2"/>
  <c r="Q901" i="2"/>
  <c r="O901" i="2"/>
  <c r="AR900" i="2"/>
  <c r="O900" i="2"/>
  <c r="AR899" i="2"/>
  <c r="O899" i="2"/>
  <c r="AR898" i="2"/>
  <c r="O898" i="2"/>
  <c r="AR897" i="2"/>
  <c r="O897" i="2"/>
  <c r="AR896" i="2"/>
  <c r="O896" i="2"/>
  <c r="AR895" i="2"/>
  <c r="O895" i="2"/>
  <c r="AR894" i="2"/>
  <c r="O894" i="2"/>
  <c r="AR893" i="2"/>
  <c r="O893" i="2"/>
  <c r="AR892" i="2"/>
  <c r="O892" i="2"/>
  <c r="AR891" i="2"/>
  <c r="O891" i="2"/>
  <c r="AR890" i="2"/>
  <c r="Q890" i="2"/>
  <c r="O890" i="2"/>
  <c r="AR889" i="2"/>
  <c r="O889" i="2"/>
  <c r="AR888" i="2"/>
  <c r="Q888" i="2"/>
  <c r="O888" i="2"/>
  <c r="AR887" i="2"/>
  <c r="O887" i="2"/>
  <c r="AR886" i="2"/>
  <c r="O886" i="2"/>
  <c r="AR885" i="2"/>
  <c r="Q885" i="2"/>
  <c r="O885" i="2"/>
  <c r="AR884" i="2"/>
  <c r="Q884" i="2"/>
  <c r="O884" i="2"/>
  <c r="AR883" i="2"/>
  <c r="Q883" i="2"/>
  <c r="O883" i="2"/>
  <c r="AR882" i="2"/>
  <c r="Q882" i="2"/>
  <c r="O882" i="2"/>
  <c r="AR881" i="2"/>
  <c r="Q881" i="2"/>
  <c r="O881" i="2"/>
  <c r="AR880" i="2"/>
  <c r="O880" i="2"/>
  <c r="AR879" i="2"/>
  <c r="Q879" i="2"/>
  <c r="O879" i="2"/>
  <c r="AR878" i="2"/>
  <c r="Q878" i="2"/>
  <c r="O878" i="2"/>
  <c r="AR877" i="2"/>
  <c r="Q877" i="2"/>
  <c r="O877" i="2"/>
  <c r="AR876" i="2"/>
  <c r="Q876" i="2"/>
  <c r="O876" i="2"/>
  <c r="AR875" i="2"/>
  <c r="Q875" i="2"/>
  <c r="O875" i="2"/>
  <c r="AR874" i="2"/>
  <c r="O874" i="2"/>
  <c r="AR873" i="2"/>
  <c r="O873" i="2"/>
  <c r="AR872" i="2"/>
  <c r="O872" i="2"/>
  <c r="AR871" i="2"/>
  <c r="Q871" i="2"/>
  <c r="O871" i="2"/>
  <c r="AR870" i="2"/>
  <c r="O870" i="2"/>
  <c r="AR869" i="2"/>
  <c r="O869" i="2"/>
  <c r="AR868" i="2"/>
  <c r="O868" i="2"/>
  <c r="AR867" i="2"/>
  <c r="O867" i="2"/>
  <c r="AR866" i="2"/>
  <c r="O866" i="2"/>
  <c r="AR865" i="2"/>
  <c r="O865" i="2"/>
  <c r="AR864" i="2"/>
  <c r="O864" i="2"/>
  <c r="AR863" i="2"/>
  <c r="O863" i="2"/>
  <c r="AR862" i="2"/>
  <c r="Q862" i="2"/>
  <c r="O862" i="2"/>
  <c r="AR861" i="2"/>
  <c r="O861" i="2"/>
  <c r="AR860" i="2"/>
  <c r="O860" i="2"/>
  <c r="AR859" i="2"/>
  <c r="Q859" i="2"/>
  <c r="O859" i="2"/>
  <c r="AR858" i="2"/>
  <c r="O858" i="2"/>
  <c r="AR857" i="2"/>
  <c r="O857" i="2"/>
  <c r="AR856" i="2"/>
  <c r="O856" i="2"/>
  <c r="AR855" i="2"/>
  <c r="O855" i="2"/>
  <c r="AR854" i="2"/>
  <c r="O854" i="2"/>
  <c r="AR853" i="2"/>
  <c r="O853" i="2"/>
  <c r="AR852" i="2"/>
  <c r="O852" i="2"/>
  <c r="AR851" i="2"/>
  <c r="O851" i="2"/>
  <c r="AR850" i="2"/>
  <c r="O850" i="2"/>
  <c r="AR849" i="2"/>
  <c r="O849" i="2"/>
  <c r="AR848" i="2"/>
  <c r="O848" i="2"/>
  <c r="AR847" i="2"/>
  <c r="O847" i="2"/>
  <c r="AR846" i="2"/>
  <c r="Q846" i="2"/>
  <c r="O846" i="2"/>
  <c r="AR845" i="2"/>
  <c r="O845" i="2"/>
  <c r="AR844" i="2"/>
  <c r="Q844" i="2"/>
  <c r="O844" i="2"/>
  <c r="AR843" i="2"/>
  <c r="O843" i="2"/>
  <c r="AR842" i="2"/>
  <c r="Q842" i="2"/>
  <c r="O842" i="2"/>
  <c r="AR841" i="2"/>
  <c r="O841" i="2"/>
  <c r="AR840" i="2"/>
  <c r="Q840" i="2"/>
  <c r="O840" i="2"/>
  <c r="AR839" i="2"/>
  <c r="Q839" i="2"/>
  <c r="O839" i="2"/>
  <c r="AR838" i="2"/>
  <c r="O838" i="2"/>
  <c r="AR837" i="2"/>
  <c r="Q837" i="2"/>
  <c r="O837" i="2"/>
  <c r="AR836" i="2"/>
  <c r="Q836" i="2"/>
  <c r="O836" i="2"/>
  <c r="AR835" i="2"/>
  <c r="Q835" i="2"/>
  <c r="O835" i="2"/>
  <c r="AR834" i="2"/>
  <c r="Q834" i="2"/>
  <c r="O834" i="2"/>
  <c r="AR833" i="2"/>
  <c r="Q833" i="2"/>
  <c r="O833" i="2"/>
  <c r="AR832" i="2"/>
  <c r="O832" i="2"/>
  <c r="AR831" i="2"/>
  <c r="O831" i="2"/>
  <c r="AR830" i="2"/>
  <c r="O830" i="2"/>
  <c r="AR829" i="2"/>
  <c r="O829" i="2"/>
  <c r="AR828" i="2"/>
  <c r="S828" i="2"/>
  <c r="Q828" i="2"/>
  <c r="O828" i="2"/>
  <c r="AR827" i="2"/>
  <c r="U827" i="2"/>
  <c r="S827" i="2"/>
  <c r="Q827" i="2"/>
  <c r="O827" i="2"/>
  <c r="AR826" i="2"/>
  <c r="O826" i="2"/>
  <c r="AR825" i="2"/>
  <c r="O825" i="2"/>
  <c r="AR824" i="2"/>
  <c r="O824" i="2"/>
  <c r="AR823" i="2"/>
  <c r="O823" i="2"/>
  <c r="AR822" i="2"/>
  <c r="O822" i="2"/>
  <c r="AR821" i="2"/>
  <c r="O821" i="2"/>
  <c r="AR820" i="2"/>
  <c r="O820" i="2"/>
  <c r="AR819" i="2"/>
  <c r="O819" i="2"/>
  <c r="AR818" i="2"/>
  <c r="O818" i="2"/>
  <c r="AR817" i="2"/>
  <c r="O817" i="2"/>
  <c r="AR816" i="2"/>
  <c r="O816" i="2"/>
  <c r="AR815" i="2"/>
  <c r="O815" i="2"/>
  <c r="AR814" i="2"/>
  <c r="O814" i="2"/>
  <c r="AR813" i="2"/>
  <c r="O813" i="2"/>
  <c r="AR812" i="2"/>
  <c r="O812" i="2"/>
  <c r="AR811" i="2"/>
  <c r="O811" i="2"/>
  <c r="AR810" i="2"/>
  <c r="O810" i="2"/>
  <c r="AR809" i="2"/>
  <c r="O809" i="2"/>
  <c r="AR808" i="2"/>
  <c r="O808" i="2"/>
  <c r="AR807" i="2"/>
  <c r="O807" i="2"/>
  <c r="AR806" i="2"/>
  <c r="O806" i="2"/>
  <c r="AR805" i="2"/>
  <c r="O805" i="2"/>
  <c r="AR804" i="2"/>
  <c r="S804" i="2"/>
  <c r="Q804" i="2"/>
  <c r="O804" i="2"/>
  <c r="AR803" i="2"/>
  <c r="O803" i="2"/>
  <c r="AR802" i="2"/>
  <c r="AI802" i="2"/>
  <c r="AG802" i="2"/>
  <c r="AE802" i="2"/>
  <c r="AC802" i="2"/>
  <c r="AA802" i="2"/>
  <c r="Y802" i="2"/>
  <c r="W802" i="2"/>
  <c r="U802" i="2"/>
  <c r="S802" i="2"/>
  <c r="Q802" i="2"/>
  <c r="O802" i="2"/>
  <c r="AR801" i="2"/>
  <c r="AK801" i="2"/>
  <c r="AI801" i="2"/>
  <c r="AG801" i="2"/>
  <c r="AE801" i="2"/>
  <c r="AC801" i="2"/>
  <c r="AA801" i="2"/>
  <c r="Y801" i="2"/>
  <c r="W801" i="2"/>
  <c r="U801" i="2"/>
  <c r="S801" i="2"/>
  <c r="Q801" i="2"/>
  <c r="O801" i="2"/>
  <c r="AR800" i="2"/>
  <c r="U800" i="2"/>
  <c r="S800" i="2"/>
  <c r="Q800" i="2"/>
  <c r="O800" i="2"/>
  <c r="AR799" i="2"/>
  <c r="O799" i="2"/>
  <c r="AR798" i="2"/>
  <c r="Q798" i="2"/>
  <c r="O798" i="2"/>
  <c r="AR797" i="2"/>
  <c r="O797" i="2"/>
  <c r="AR796" i="2"/>
  <c r="O796" i="2"/>
  <c r="AR795" i="2"/>
  <c r="O795" i="2"/>
  <c r="AR794" i="2"/>
  <c r="O794" i="2"/>
  <c r="AR793" i="2"/>
  <c r="O793" i="2"/>
  <c r="AR792" i="2"/>
  <c r="O792" i="2"/>
  <c r="AR791" i="2"/>
  <c r="O791" i="2"/>
  <c r="AR790" i="2"/>
  <c r="O790" i="2"/>
  <c r="AR789" i="2"/>
  <c r="O789" i="2"/>
  <c r="AR788" i="2"/>
  <c r="Q788" i="2"/>
  <c r="O788" i="2"/>
  <c r="AR787" i="2"/>
  <c r="O787" i="2"/>
  <c r="AR786" i="2"/>
  <c r="O786" i="2"/>
  <c r="AR785" i="2"/>
  <c r="O785" i="2"/>
  <c r="AR784" i="2"/>
  <c r="O784" i="2"/>
  <c r="AR783" i="2"/>
  <c r="AA783" i="2"/>
  <c r="Y783" i="2"/>
  <c r="W783" i="2"/>
  <c r="U783" i="2"/>
  <c r="S783" i="2"/>
  <c r="Q783" i="2"/>
  <c r="O783" i="2"/>
  <c r="AR782" i="2"/>
  <c r="O782" i="2"/>
  <c r="AR781" i="2"/>
  <c r="O781" i="2"/>
  <c r="AR780" i="2"/>
  <c r="O780" i="2"/>
  <c r="AR779" i="2"/>
  <c r="O779" i="2"/>
  <c r="AR778" i="2"/>
  <c r="S778" i="2"/>
  <c r="Q778" i="2"/>
  <c r="O778" i="2"/>
  <c r="AR777" i="2"/>
  <c r="Q777" i="2"/>
  <c r="O777" i="2"/>
  <c r="AR776" i="2"/>
  <c r="Q776" i="2"/>
  <c r="O776" i="2"/>
  <c r="AR775" i="2"/>
  <c r="O775" i="2"/>
  <c r="AR774" i="2"/>
  <c r="O774" i="2"/>
  <c r="AR773" i="2"/>
  <c r="O773" i="2"/>
  <c r="AR772" i="2"/>
  <c r="U772" i="2"/>
  <c r="S772" i="2"/>
  <c r="Q772" i="2"/>
  <c r="O772" i="2"/>
  <c r="AR771" i="2"/>
  <c r="AA771" i="2"/>
  <c r="Y771" i="2"/>
  <c r="W771" i="2"/>
  <c r="U771" i="2"/>
  <c r="S771" i="2"/>
  <c r="Q771" i="2"/>
  <c r="O771" i="2"/>
  <c r="AR770" i="2"/>
  <c r="AQ770" i="2"/>
  <c r="AO770" i="2"/>
  <c r="AM770" i="2"/>
  <c r="AK770" i="2"/>
  <c r="AI770" i="2"/>
  <c r="AG770" i="2"/>
  <c r="AE770" i="2"/>
  <c r="AC770" i="2"/>
  <c r="AA770" i="2"/>
  <c r="Y770" i="2"/>
  <c r="W770" i="2"/>
  <c r="U770" i="2"/>
  <c r="S770" i="2"/>
  <c r="Q770" i="2"/>
  <c r="O770" i="2"/>
  <c r="AR769" i="2"/>
  <c r="AQ769" i="2"/>
  <c r="AO769" i="2"/>
  <c r="AM769" i="2"/>
  <c r="AK769" i="2"/>
  <c r="AI769" i="2"/>
  <c r="AG769" i="2"/>
  <c r="AE769" i="2"/>
  <c r="AC769" i="2"/>
  <c r="AA769" i="2"/>
  <c r="Y769" i="2"/>
  <c r="W769" i="2"/>
  <c r="U769" i="2"/>
  <c r="S769" i="2"/>
  <c r="Q769" i="2"/>
  <c r="O769" i="2"/>
  <c r="AR768" i="2"/>
  <c r="AA768" i="2"/>
  <c r="Y768" i="2"/>
  <c r="W768" i="2"/>
  <c r="U768" i="2"/>
  <c r="S768" i="2"/>
  <c r="Q768" i="2"/>
  <c r="O768" i="2"/>
  <c r="AR767" i="2"/>
  <c r="S767" i="2"/>
  <c r="Q767" i="2"/>
  <c r="O767" i="2"/>
  <c r="AR766" i="2"/>
  <c r="S766" i="2"/>
  <c r="Q766" i="2"/>
  <c r="O766" i="2"/>
  <c r="AR765" i="2"/>
  <c r="O765" i="2"/>
  <c r="AR764" i="2"/>
  <c r="Q764" i="2"/>
  <c r="O764" i="2"/>
  <c r="AR763" i="2"/>
  <c r="O763" i="2"/>
  <c r="AR762" i="2"/>
  <c r="O762" i="2"/>
  <c r="AR761" i="2"/>
  <c r="AI761" i="2"/>
  <c r="AG761" i="2"/>
  <c r="AE761" i="2"/>
  <c r="AC761" i="2"/>
  <c r="AA761" i="2"/>
  <c r="Y761" i="2"/>
  <c r="W761" i="2"/>
  <c r="U761" i="2"/>
  <c r="S761" i="2"/>
  <c r="Q761" i="2"/>
  <c r="O761" i="2"/>
  <c r="AR760" i="2"/>
  <c r="Q760" i="2"/>
  <c r="O760" i="2"/>
  <c r="AR759" i="2"/>
  <c r="O759" i="2"/>
  <c r="AR758" i="2"/>
  <c r="O758" i="2"/>
  <c r="AR757" i="2"/>
  <c r="O757" i="2"/>
  <c r="AR756" i="2"/>
  <c r="S756" i="2"/>
  <c r="Q756" i="2"/>
  <c r="O756" i="2"/>
  <c r="AR755" i="2"/>
  <c r="O755" i="2"/>
  <c r="AR754" i="2"/>
  <c r="Q754" i="2"/>
  <c r="O754" i="2"/>
  <c r="AR753" i="2"/>
  <c r="O753" i="2"/>
  <c r="AR752" i="2"/>
  <c r="W752" i="2"/>
  <c r="U752" i="2"/>
  <c r="S752" i="2"/>
  <c r="Q752" i="2"/>
  <c r="O752" i="2"/>
  <c r="AR751" i="2"/>
  <c r="O751" i="2"/>
  <c r="AR750" i="2"/>
  <c r="O750" i="2"/>
  <c r="AR749" i="2"/>
  <c r="S749" i="2"/>
  <c r="Q749" i="2"/>
  <c r="O749" i="2"/>
  <c r="AR748" i="2"/>
  <c r="O748" i="2"/>
  <c r="AR747" i="2"/>
  <c r="O747" i="2"/>
  <c r="AR746" i="2"/>
  <c r="S746" i="2"/>
  <c r="Q746" i="2"/>
  <c r="O746" i="2"/>
  <c r="AR745" i="2"/>
  <c r="O745" i="2"/>
  <c r="AR744" i="2"/>
  <c r="O744" i="2"/>
  <c r="AR743" i="2"/>
  <c r="Q743" i="2"/>
  <c r="O743" i="2"/>
  <c r="AR742" i="2"/>
  <c r="Q742" i="2"/>
  <c r="O742" i="2"/>
  <c r="AR741" i="2"/>
  <c r="O741" i="2"/>
  <c r="AR740" i="2"/>
  <c r="S740" i="2"/>
  <c r="Q740" i="2"/>
  <c r="O740" i="2"/>
  <c r="AR739" i="2"/>
  <c r="O739" i="2"/>
  <c r="AR738" i="2"/>
  <c r="O738" i="2"/>
  <c r="AR737" i="2"/>
  <c r="Q737" i="2"/>
  <c r="O737" i="2"/>
  <c r="AR736" i="2"/>
  <c r="O736" i="2"/>
  <c r="AR735" i="2"/>
  <c r="Q735" i="2"/>
  <c r="O735" i="2"/>
  <c r="AR734" i="2"/>
  <c r="S734" i="2"/>
  <c r="Q734" i="2"/>
  <c r="O734" i="2"/>
  <c r="AR733" i="2"/>
  <c r="O733" i="2"/>
  <c r="AR732" i="2"/>
  <c r="AC732" i="2"/>
  <c r="AA732" i="2"/>
  <c r="Y732" i="2"/>
  <c r="W732" i="2"/>
  <c r="U732" i="2"/>
  <c r="S732" i="2"/>
  <c r="Q732" i="2"/>
  <c r="O732" i="2"/>
  <c r="AR731" i="2"/>
  <c r="O731" i="2"/>
  <c r="AR730" i="2"/>
  <c r="Q730" i="2"/>
  <c r="O730" i="2"/>
  <c r="AR729" i="2"/>
  <c r="O729" i="2"/>
  <c r="AR728" i="2"/>
  <c r="O728" i="2"/>
  <c r="AR727" i="2"/>
  <c r="Q727" i="2"/>
  <c r="O727" i="2"/>
  <c r="AR726" i="2"/>
  <c r="Q726" i="2"/>
  <c r="O726" i="2"/>
  <c r="AR725" i="2"/>
  <c r="O725" i="2"/>
  <c r="AR724" i="2"/>
  <c r="O724" i="2"/>
  <c r="AR723" i="2"/>
  <c r="O723" i="2"/>
  <c r="AR722" i="2"/>
  <c r="O722" i="2"/>
  <c r="AR721" i="2"/>
  <c r="Q721" i="2"/>
  <c r="O721" i="2"/>
  <c r="AR720" i="2"/>
  <c r="O720" i="2"/>
  <c r="AR719" i="2"/>
  <c r="AA719" i="2"/>
  <c r="Y719" i="2"/>
  <c r="W719" i="2"/>
  <c r="U719" i="2"/>
  <c r="S719" i="2"/>
  <c r="Q719" i="2"/>
  <c r="O719" i="2"/>
  <c r="AR718" i="2"/>
  <c r="S718" i="2"/>
  <c r="Q718" i="2"/>
  <c r="O718" i="2"/>
  <c r="AR717" i="2"/>
  <c r="Q717" i="2"/>
  <c r="O717" i="2"/>
  <c r="AR716" i="2"/>
  <c r="Q716" i="2"/>
  <c r="O716" i="2"/>
  <c r="AR715" i="2"/>
  <c r="O715" i="2"/>
  <c r="AR714" i="2"/>
  <c r="AC714" i="2"/>
  <c r="AA714" i="2"/>
  <c r="Y714" i="2"/>
  <c r="W714" i="2"/>
  <c r="U714" i="2"/>
  <c r="S714" i="2"/>
  <c r="Q714" i="2"/>
  <c r="O714" i="2"/>
  <c r="AR713" i="2"/>
  <c r="O713" i="2"/>
  <c r="AR712" i="2"/>
  <c r="U712" i="2"/>
  <c r="S712" i="2"/>
  <c r="Q712" i="2"/>
  <c r="O712" i="2"/>
  <c r="AR711" i="2"/>
  <c r="O711" i="2"/>
  <c r="AR710" i="2"/>
  <c r="O710" i="2"/>
  <c r="AR709" i="2"/>
  <c r="O709" i="2"/>
  <c r="AR708" i="2"/>
  <c r="O708" i="2"/>
  <c r="AR707" i="2"/>
  <c r="AQ707" i="2"/>
  <c r="AO707" i="2"/>
  <c r="AM707" i="2"/>
  <c r="AK707" i="2"/>
  <c r="AI707" i="2"/>
  <c r="AG707" i="2"/>
  <c r="AE707" i="2"/>
  <c r="AC707" i="2"/>
  <c r="AA707" i="2"/>
  <c r="Y707" i="2"/>
  <c r="W707" i="2"/>
  <c r="U707" i="2"/>
  <c r="S707" i="2"/>
  <c r="Q707" i="2"/>
  <c r="O707" i="2"/>
  <c r="AR706" i="2"/>
  <c r="AO706" i="2"/>
  <c r="AM706" i="2"/>
  <c r="AK706" i="2"/>
  <c r="AI706" i="2"/>
  <c r="AG706" i="2"/>
  <c r="AE706" i="2"/>
  <c r="AC706" i="2"/>
  <c r="AA706" i="2"/>
  <c r="Y706" i="2"/>
  <c r="W706" i="2"/>
  <c r="U706" i="2"/>
  <c r="S706" i="2"/>
  <c r="Q706" i="2"/>
  <c r="O706" i="2"/>
  <c r="AR705" i="2"/>
  <c r="Q705" i="2"/>
  <c r="O705" i="2"/>
  <c r="AR704" i="2"/>
  <c r="O704" i="2"/>
  <c r="AR703" i="2"/>
  <c r="AG703" i="2"/>
  <c r="AE703" i="2"/>
  <c r="AC703" i="2"/>
  <c r="AA703" i="2"/>
  <c r="Y703" i="2"/>
  <c r="W703" i="2"/>
  <c r="U703" i="2"/>
  <c r="S703" i="2"/>
  <c r="Q703" i="2"/>
  <c r="O703" i="2"/>
  <c r="AR702" i="2"/>
  <c r="O702" i="2"/>
  <c r="AR701" i="2"/>
  <c r="O701" i="2"/>
  <c r="AR700" i="2"/>
  <c r="O700" i="2"/>
  <c r="AR699" i="2"/>
  <c r="O699" i="2"/>
  <c r="AR698" i="2"/>
  <c r="Q698" i="2"/>
  <c r="O698" i="2"/>
  <c r="AR697" i="2"/>
  <c r="O697" i="2"/>
  <c r="AR696" i="2"/>
  <c r="O696" i="2"/>
  <c r="AR695" i="2"/>
  <c r="S695" i="2"/>
  <c r="Q695" i="2"/>
  <c r="O695" i="2"/>
  <c r="AR694" i="2"/>
  <c r="AE694" i="2"/>
  <c r="AC694" i="2"/>
  <c r="AA694" i="2"/>
  <c r="Y694" i="2"/>
  <c r="W694" i="2"/>
  <c r="U694" i="2"/>
  <c r="S694" i="2"/>
  <c r="Q694" i="2"/>
  <c r="O694" i="2"/>
  <c r="AR693" i="2"/>
  <c r="O693" i="2"/>
  <c r="AR692" i="2"/>
  <c r="Q692" i="2"/>
  <c r="O692" i="2"/>
  <c r="AR691" i="2"/>
  <c r="O691" i="2"/>
  <c r="AR690" i="2"/>
  <c r="O690" i="2"/>
  <c r="AR689" i="2"/>
  <c r="O689" i="2"/>
  <c r="AR688" i="2"/>
  <c r="AQ688" i="2"/>
  <c r="AO688" i="2"/>
  <c r="AM688" i="2"/>
  <c r="AK688" i="2"/>
  <c r="AI688" i="2"/>
  <c r="AG688" i="2"/>
  <c r="AE688" i="2"/>
  <c r="AC688" i="2"/>
  <c r="AA688" i="2"/>
  <c r="Y688" i="2"/>
  <c r="W688" i="2"/>
  <c r="U688" i="2"/>
  <c r="S688" i="2"/>
  <c r="Q688" i="2"/>
  <c r="O688" i="2"/>
  <c r="AR687" i="2"/>
  <c r="W687" i="2"/>
  <c r="U687" i="2"/>
  <c r="S687" i="2"/>
  <c r="Q687" i="2"/>
  <c r="O687" i="2"/>
  <c r="AR686" i="2"/>
  <c r="AQ686" i="2"/>
  <c r="AO686" i="2"/>
  <c r="AM686" i="2"/>
  <c r="AK686" i="2"/>
  <c r="AI686" i="2"/>
  <c r="AG686" i="2"/>
  <c r="AE686" i="2"/>
  <c r="AC686" i="2"/>
  <c r="AA686" i="2"/>
  <c r="Y686" i="2"/>
  <c r="W686" i="2"/>
  <c r="U686" i="2"/>
  <c r="S686" i="2"/>
  <c r="Q686" i="2"/>
  <c r="O686" i="2"/>
  <c r="AR685" i="2"/>
  <c r="Q685" i="2"/>
  <c r="O685" i="2"/>
  <c r="AR684" i="2"/>
  <c r="AC684" i="2"/>
  <c r="AA684" i="2"/>
  <c r="Y684" i="2"/>
  <c r="W684" i="2"/>
  <c r="U684" i="2"/>
  <c r="S684" i="2"/>
  <c r="Q684" i="2"/>
  <c r="O684" i="2"/>
  <c r="AR683" i="2"/>
  <c r="AM683" i="2"/>
  <c r="AK683" i="2"/>
  <c r="AI683" i="2"/>
  <c r="AG683" i="2"/>
  <c r="AE683" i="2"/>
  <c r="AC683" i="2"/>
  <c r="AA683" i="2"/>
  <c r="Y683" i="2"/>
  <c r="W683" i="2"/>
  <c r="U683" i="2"/>
  <c r="S683" i="2"/>
  <c r="Q683" i="2"/>
  <c r="O683" i="2"/>
  <c r="AR682" i="2"/>
  <c r="O682" i="2"/>
  <c r="AR681" i="2"/>
  <c r="O681" i="2"/>
  <c r="AR680" i="2"/>
  <c r="Q680" i="2"/>
  <c r="O680" i="2"/>
  <c r="AR679" i="2"/>
  <c r="O679" i="2"/>
  <c r="AR678" i="2"/>
  <c r="O678" i="2"/>
  <c r="AR677" i="2"/>
  <c r="O677" i="2"/>
  <c r="AR676" i="2"/>
  <c r="O676" i="2"/>
  <c r="AR675" i="2"/>
  <c r="O675" i="2"/>
  <c r="AR674" i="2"/>
  <c r="O674" i="2"/>
  <c r="AR673" i="2"/>
  <c r="O673" i="2"/>
  <c r="AR672" i="2"/>
  <c r="O672" i="2"/>
  <c r="AR671" i="2"/>
  <c r="O671" i="2"/>
  <c r="AR670" i="2"/>
  <c r="O670" i="2"/>
  <c r="AR669" i="2"/>
  <c r="O669" i="2"/>
  <c r="AR668" i="2"/>
  <c r="O668" i="2"/>
  <c r="AR667" i="2"/>
  <c r="O667" i="2"/>
  <c r="AR666" i="2"/>
  <c r="O666" i="2"/>
  <c r="AR665" i="2"/>
  <c r="O665" i="2"/>
  <c r="AR664" i="2"/>
  <c r="O664" i="2"/>
  <c r="AR663" i="2"/>
  <c r="O663" i="2"/>
  <c r="AR662" i="2"/>
  <c r="O662" i="2"/>
  <c r="AR661" i="2"/>
  <c r="O661" i="2"/>
  <c r="AR660" i="2"/>
  <c r="O660" i="2"/>
  <c r="AR659" i="2"/>
  <c r="O659" i="2"/>
  <c r="AR658" i="2"/>
  <c r="O658" i="2"/>
  <c r="AR657" i="2"/>
  <c r="O657" i="2"/>
  <c r="AR656" i="2"/>
  <c r="O656" i="2"/>
  <c r="AR655" i="2"/>
  <c r="O655" i="2"/>
  <c r="AR654" i="2"/>
  <c r="O654" i="2"/>
  <c r="AR653" i="2"/>
  <c r="O653" i="2"/>
  <c r="AR652" i="2"/>
  <c r="O652" i="2"/>
  <c r="AR651" i="2"/>
  <c r="O651" i="2"/>
  <c r="AR650" i="2"/>
  <c r="O650" i="2"/>
  <c r="AR649" i="2"/>
  <c r="O649" i="2"/>
  <c r="AR648" i="2"/>
  <c r="O648" i="2"/>
  <c r="AR647" i="2"/>
  <c r="O647" i="2"/>
  <c r="AR646" i="2"/>
  <c r="O646" i="2"/>
  <c r="AR645" i="2"/>
  <c r="O645" i="2"/>
  <c r="AR644" i="2"/>
  <c r="O644" i="2"/>
  <c r="AR643" i="2"/>
  <c r="O643" i="2"/>
  <c r="AR642" i="2"/>
  <c r="O642" i="2"/>
  <c r="AR641" i="2"/>
  <c r="O641" i="2"/>
  <c r="AR640" i="2"/>
  <c r="O640" i="2"/>
  <c r="AR639" i="2"/>
  <c r="O639" i="2"/>
  <c r="AR638" i="2"/>
  <c r="O638" i="2"/>
  <c r="AR637" i="2"/>
  <c r="O637" i="2"/>
  <c r="AR636" i="2"/>
  <c r="O636" i="2"/>
  <c r="AR635" i="2"/>
  <c r="O635" i="2"/>
  <c r="AR634" i="2"/>
  <c r="O634" i="2"/>
  <c r="AR633" i="2"/>
  <c r="O633" i="2"/>
  <c r="AR632" i="2"/>
  <c r="O632" i="2"/>
  <c r="AR631" i="2"/>
  <c r="O631" i="2"/>
  <c r="AR630" i="2"/>
  <c r="O630" i="2"/>
  <c r="AR629" i="2"/>
  <c r="O629" i="2"/>
  <c r="AR628" i="2"/>
  <c r="O628" i="2"/>
  <c r="AR627" i="2"/>
  <c r="O627" i="2"/>
  <c r="AR626" i="2"/>
  <c r="O626" i="2"/>
  <c r="AR625" i="2"/>
  <c r="O625" i="2"/>
  <c r="AR624" i="2"/>
  <c r="O624" i="2"/>
  <c r="AR623" i="2"/>
  <c r="O623" i="2"/>
  <c r="AR622" i="2"/>
  <c r="O622" i="2"/>
  <c r="AR621" i="2"/>
  <c r="O621" i="2"/>
  <c r="AR620" i="2"/>
  <c r="O620" i="2"/>
  <c r="AR619" i="2"/>
  <c r="O619" i="2"/>
  <c r="AR618" i="2"/>
  <c r="O618" i="2"/>
  <c r="AR617" i="2"/>
  <c r="O617" i="2"/>
  <c r="AR616" i="2"/>
  <c r="O616" i="2"/>
  <c r="AR615" i="2"/>
  <c r="O615" i="2"/>
  <c r="AR614" i="2"/>
  <c r="O614" i="2"/>
  <c r="AR613" i="2"/>
  <c r="O613" i="2"/>
  <c r="AR612" i="2"/>
  <c r="O612" i="2"/>
  <c r="AR611" i="2"/>
  <c r="O611" i="2"/>
  <c r="AR610" i="2"/>
  <c r="O610" i="2"/>
  <c r="AR609" i="2"/>
  <c r="O609" i="2"/>
  <c r="AR608" i="2"/>
  <c r="O608" i="2"/>
  <c r="AR607" i="2"/>
  <c r="O607" i="2"/>
  <c r="AR606" i="2"/>
  <c r="O606" i="2"/>
  <c r="AR605" i="2"/>
  <c r="O605" i="2"/>
  <c r="AR604" i="2"/>
  <c r="O604" i="2"/>
  <c r="AR603" i="2"/>
  <c r="O603" i="2"/>
  <c r="AR602" i="2"/>
  <c r="O602" i="2"/>
  <c r="AR601" i="2"/>
  <c r="O601" i="2"/>
  <c r="AR600" i="2"/>
  <c r="O600" i="2"/>
  <c r="AR599" i="2"/>
  <c r="O599" i="2"/>
  <c r="AR598" i="2"/>
  <c r="O598" i="2"/>
  <c r="AR597" i="2"/>
  <c r="O597" i="2"/>
  <c r="AR596" i="2"/>
  <c r="O596" i="2"/>
  <c r="AR595" i="2"/>
  <c r="O595" i="2"/>
  <c r="AR594" i="2"/>
  <c r="O594" i="2"/>
  <c r="AR593" i="2"/>
  <c r="O593" i="2"/>
  <c r="AR592" i="2"/>
  <c r="O592" i="2"/>
  <c r="AR591" i="2"/>
  <c r="O591" i="2"/>
  <c r="AR590" i="2"/>
  <c r="Q590" i="2"/>
  <c r="O590" i="2"/>
  <c r="AR589" i="2"/>
  <c r="Q589" i="2"/>
  <c r="O589" i="2"/>
  <c r="AR588" i="2"/>
  <c r="Q588" i="2"/>
  <c r="O588" i="2"/>
  <c r="AR587" i="2"/>
  <c r="Q587" i="2"/>
  <c r="O587" i="2"/>
  <c r="AR586" i="2"/>
  <c r="S586" i="2"/>
  <c r="Q586" i="2"/>
  <c r="O586" i="2"/>
  <c r="AR585" i="2"/>
  <c r="S585" i="2"/>
  <c r="Q585" i="2"/>
  <c r="O585" i="2"/>
  <c r="AR584" i="2"/>
  <c r="O584" i="2"/>
  <c r="AR583" i="2"/>
  <c r="O583" i="2"/>
  <c r="AR582" i="2"/>
  <c r="O582" i="2"/>
  <c r="AR581" i="2"/>
  <c r="O581" i="2"/>
  <c r="AR580" i="2"/>
  <c r="O580" i="2"/>
  <c r="AR579" i="2"/>
  <c r="O579" i="2"/>
  <c r="AR578" i="2"/>
  <c r="O578" i="2"/>
  <c r="AR577" i="2"/>
  <c r="O577" i="2"/>
  <c r="AR576" i="2"/>
  <c r="O576" i="2"/>
  <c r="AR575" i="2"/>
  <c r="O575" i="2"/>
  <c r="AR574" i="2"/>
  <c r="O574" i="2"/>
  <c r="AR573" i="2"/>
  <c r="O573" i="2"/>
  <c r="AR572" i="2"/>
  <c r="O572" i="2"/>
  <c r="AR571" i="2"/>
  <c r="O571" i="2"/>
  <c r="AR570" i="2"/>
  <c r="O570" i="2"/>
  <c r="AR569" i="2"/>
  <c r="O569" i="2"/>
  <c r="AR568" i="2"/>
  <c r="O568" i="2"/>
  <c r="AR567" i="2"/>
  <c r="O567" i="2"/>
  <c r="AR566" i="2"/>
  <c r="O566" i="2"/>
  <c r="AR565" i="2"/>
  <c r="O565" i="2"/>
  <c r="AR564" i="2"/>
  <c r="O564" i="2"/>
  <c r="AR563" i="2"/>
  <c r="O563" i="2"/>
  <c r="AR562" i="2"/>
  <c r="O562" i="2"/>
  <c r="AR561" i="2"/>
  <c r="O561" i="2"/>
  <c r="AR560" i="2"/>
  <c r="O560" i="2"/>
  <c r="AR559" i="2"/>
  <c r="O559" i="2"/>
  <c r="AR558" i="2"/>
  <c r="O558" i="2"/>
  <c r="AR557" i="2"/>
  <c r="O557" i="2"/>
  <c r="AR556" i="2"/>
  <c r="O556" i="2"/>
  <c r="AR555" i="2"/>
  <c r="O555" i="2"/>
  <c r="AR554" i="2"/>
  <c r="O554" i="2"/>
  <c r="AR553" i="2"/>
  <c r="O553" i="2"/>
  <c r="AR552" i="2"/>
  <c r="O552" i="2"/>
  <c r="AR551" i="2"/>
  <c r="O551" i="2"/>
  <c r="AR550" i="2"/>
  <c r="O550" i="2"/>
  <c r="AR549" i="2"/>
  <c r="O549" i="2"/>
  <c r="AR548" i="2"/>
  <c r="O548" i="2"/>
  <c r="AR547" i="2"/>
  <c r="O547" i="2"/>
  <c r="AR546" i="2"/>
  <c r="O546" i="2"/>
  <c r="AR545" i="2"/>
  <c r="O545" i="2"/>
  <c r="AR544" i="2"/>
  <c r="O544" i="2"/>
  <c r="AR543" i="2"/>
  <c r="O543" i="2"/>
  <c r="AR542" i="2"/>
  <c r="O542" i="2"/>
  <c r="AR541" i="2"/>
  <c r="O541" i="2"/>
  <c r="AR540" i="2"/>
  <c r="O540" i="2"/>
  <c r="AR539" i="2"/>
  <c r="O539" i="2"/>
  <c r="AR538" i="2"/>
  <c r="O538" i="2"/>
  <c r="AR537" i="2"/>
  <c r="O537" i="2"/>
  <c r="AR536" i="2"/>
  <c r="O536" i="2"/>
  <c r="AR535" i="2"/>
  <c r="O535" i="2"/>
  <c r="AR534" i="2"/>
  <c r="O534" i="2"/>
  <c r="AR533" i="2"/>
  <c r="O533" i="2"/>
  <c r="AR532" i="2"/>
  <c r="O532" i="2"/>
  <c r="AR531" i="2"/>
  <c r="O531" i="2"/>
  <c r="AR530" i="2"/>
  <c r="O530" i="2"/>
  <c r="AR529" i="2"/>
  <c r="O529" i="2"/>
  <c r="AR528" i="2"/>
  <c r="O528" i="2"/>
  <c r="AR527" i="2"/>
  <c r="O527" i="2"/>
  <c r="AR526" i="2"/>
  <c r="O526" i="2"/>
  <c r="AR525" i="2"/>
  <c r="O525" i="2"/>
  <c r="AR524" i="2"/>
  <c r="O524" i="2"/>
  <c r="AR523" i="2"/>
  <c r="O523" i="2"/>
  <c r="AR522" i="2"/>
  <c r="O522" i="2"/>
  <c r="AR521" i="2"/>
  <c r="O521" i="2"/>
  <c r="AR520" i="2"/>
  <c r="O520" i="2"/>
  <c r="AR519" i="2"/>
  <c r="O519" i="2"/>
  <c r="AR518" i="2"/>
  <c r="O518" i="2"/>
  <c r="AR517" i="2"/>
  <c r="O517" i="2"/>
  <c r="AR516" i="2"/>
  <c r="O516" i="2"/>
  <c r="AR515" i="2"/>
  <c r="O515" i="2"/>
  <c r="AR514" i="2"/>
  <c r="O514" i="2"/>
  <c r="AR513" i="2"/>
  <c r="O513" i="2"/>
  <c r="AR512" i="2"/>
  <c r="O512" i="2"/>
  <c r="AR511" i="2"/>
  <c r="O511" i="2"/>
  <c r="AR510" i="2"/>
  <c r="O510" i="2"/>
  <c r="AR509" i="2"/>
  <c r="O509" i="2"/>
  <c r="AR508" i="2"/>
  <c r="O508" i="2"/>
  <c r="AR507" i="2"/>
  <c r="O507" i="2"/>
  <c r="AR506" i="2"/>
  <c r="Q506" i="2"/>
  <c r="O506" i="2"/>
  <c r="AR505" i="2"/>
  <c r="O505" i="2"/>
  <c r="AR504" i="2"/>
  <c r="O504" i="2"/>
  <c r="AR503" i="2"/>
  <c r="O503" i="2"/>
  <c r="AR502" i="2"/>
  <c r="O502" i="2"/>
  <c r="AR501" i="2"/>
  <c r="O501" i="2"/>
  <c r="AR500" i="2"/>
  <c r="O500" i="2"/>
  <c r="AR499" i="2"/>
  <c r="O499" i="2"/>
  <c r="AR498" i="2"/>
  <c r="Q498" i="2"/>
  <c r="O498" i="2"/>
  <c r="AR497" i="2"/>
  <c r="O497" i="2"/>
  <c r="AR496" i="2"/>
  <c r="O496" i="2"/>
  <c r="AR495" i="2"/>
  <c r="O495" i="2"/>
  <c r="AR494" i="2"/>
  <c r="O494" i="2"/>
  <c r="AR493" i="2"/>
  <c r="O493" i="2"/>
  <c r="AR492" i="2"/>
  <c r="O492" i="2"/>
  <c r="AR491" i="2"/>
  <c r="O491" i="2"/>
  <c r="AR490" i="2"/>
  <c r="O490" i="2"/>
  <c r="AR489" i="2"/>
  <c r="O489" i="2"/>
  <c r="AR488" i="2"/>
  <c r="O488" i="2"/>
  <c r="AR487" i="2"/>
  <c r="O487" i="2"/>
  <c r="AR486" i="2"/>
  <c r="O486" i="2"/>
  <c r="AR485" i="2"/>
  <c r="O485" i="2"/>
  <c r="AR484" i="2"/>
  <c r="O484" i="2"/>
  <c r="AR483" i="2"/>
  <c r="O483" i="2"/>
  <c r="AR482" i="2"/>
  <c r="O482" i="2"/>
  <c r="AR481" i="2"/>
  <c r="O481" i="2"/>
  <c r="AR480" i="2"/>
  <c r="O480" i="2"/>
  <c r="AR479" i="2"/>
  <c r="O479" i="2"/>
  <c r="AR478" i="2"/>
  <c r="O478" i="2"/>
  <c r="AR477" i="2"/>
  <c r="O477" i="2"/>
  <c r="AR476" i="2"/>
  <c r="O476" i="2"/>
  <c r="AR475" i="2"/>
  <c r="O475" i="2"/>
  <c r="AR474" i="2"/>
  <c r="O474" i="2"/>
  <c r="AR473" i="2"/>
  <c r="O473" i="2"/>
  <c r="AR472" i="2"/>
  <c r="O472" i="2"/>
  <c r="AR471" i="2"/>
  <c r="O471" i="2"/>
  <c r="AR470" i="2"/>
  <c r="O470" i="2"/>
  <c r="AR469" i="2"/>
  <c r="O469" i="2"/>
  <c r="AR468" i="2"/>
  <c r="O468" i="2"/>
  <c r="AR467" i="2"/>
  <c r="O467" i="2"/>
  <c r="AR466" i="2"/>
  <c r="O466" i="2"/>
  <c r="AR465" i="2"/>
  <c r="O465" i="2"/>
  <c r="AR464" i="2"/>
  <c r="O464" i="2"/>
  <c r="AR463" i="2"/>
  <c r="O463" i="2"/>
  <c r="AR462" i="2"/>
  <c r="O462" i="2"/>
  <c r="AR461" i="2"/>
  <c r="O461" i="2"/>
  <c r="AR460" i="2"/>
  <c r="Q460" i="2"/>
  <c r="O460" i="2"/>
  <c r="AR459" i="2"/>
  <c r="O459" i="2"/>
  <c r="AR458" i="2"/>
  <c r="O458" i="2"/>
  <c r="AR457" i="2"/>
  <c r="O457" i="2"/>
  <c r="AR456" i="2"/>
  <c r="O456" i="2"/>
  <c r="AR455" i="2"/>
  <c r="O455" i="2"/>
  <c r="AR454" i="2"/>
  <c r="O454" i="2"/>
  <c r="AR453" i="2"/>
  <c r="O453" i="2"/>
  <c r="AR452" i="2"/>
  <c r="O452" i="2"/>
  <c r="AR451" i="2"/>
  <c r="O451" i="2"/>
  <c r="AR450" i="2"/>
  <c r="O450" i="2"/>
  <c r="AR449" i="2"/>
  <c r="O449" i="2"/>
  <c r="AR448" i="2"/>
  <c r="O448" i="2"/>
  <c r="AR447" i="2"/>
  <c r="O447" i="2"/>
  <c r="AR446" i="2"/>
  <c r="O446" i="2"/>
  <c r="AR445" i="2"/>
  <c r="O445" i="2"/>
  <c r="AR444" i="2"/>
  <c r="Q444" i="2"/>
  <c r="O444" i="2"/>
  <c r="AR443" i="2"/>
  <c r="O443" i="2"/>
  <c r="AR442" i="2"/>
  <c r="O442" i="2"/>
  <c r="AR441" i="2"/>
  <c r="O441" i="2"/>
  <c r="AR440" i="2"/>
  <c r="Q440" i="2"/>
  <c r="O440" i="2"/>
  <c r="AR439" i="2"/>
  <c r="O439" i="2"/>
  <c r="AR438" i="2"/>
  <c r="O438" i="2"/>
  <c r="AR437" i="2"/>
  <c r="O437" i="2"/>
  <c r="AR436" i="2"/>
  <c r="O436" i="2"/>
  <c r="AR435" i="2"/>
  <c r="O435" i="2"/>
  <c r="AR434" i="2"/>
  <c r="O434" i="2"/>
  <c r="AR433" i="2"/>
  <c r="O433" i="2"/>
  <c r="AR432" i="2"/>
  <c r="O432" i="2"/>
  <c r="AR431" i="2"/>
  <c r="O431" i="2"/>
  <c r="AR430" i="2"/>
  <c r="O430" i="2"/>
  <c r="AR429" i="2"/>
  <c r="O429" i="2"/>
  <c r="AR428" i="2"/>
  <c r="O428" i="2"/>
  <c r="AR427" i="2"/>
  <c r="O427" i="2"/>
  <c r="AR426" i="2"/>
  <c r="O426" i="2"/>
  <c r="AR425" i="2"/>
  <c r="S425" i="2"/>
  <c r="Q425" i="2"/>
  <c r="O425" i="2"/>
  <c r="AR424" i="2"/>
  <c r="O424" i="2"/>
  <c r="AR423" i="2"/>
  <c r="O423" i="2"/>
  <c r="AR422" i="2"/>
  <c r="O422" i="2"/>
  <c r="AR421" i="2"/>
  <c r="O421" i="2"/>
  <c r="AR420" i="2"/>
  <c r="O420" i="2"/>
  <c r="AR419" i="2"/>
  <c r="O419" i="2"/>
  <c r="AR418" i="2"/>
  <c r="O418" i="2"/>
  <c r="AR417" i="2"/>
  <c r="O417" i="2"/>
  <c r="AR416" i="2"/>
  <c r="O416" i="2"/>
  <c r="AR415" i="2"/>
  <c r="O415" i="2"/>
  <c r="AR414" i="2"/>
  <c r="O414" i="2"/>
  <c r="AR413" i="2"/>
  <c r="Q413" i="2"/>
  <c r="O413" i="2"/>
  <c r="AR412" i="2"/>
  <c r="O412" i="2"/>
  <c r="AR411" i="2"/>
  <c r="O411" i="2"/>
  <c r="AR410" i="2"/>
  <c r="Q410" i="2"/>
  <c r="O410" i="2"/>
  <c r="AR409" i="2"/>
  <c r="Q409" i="2"/>
  <c r="O409" i="2"/>
  <c r="AR408" i="2"/>
  <c r="O408" i="2"/>
  <c r="AR407" i="2"/>
  <c r="O407" i="2"/>
  <c r="AR406" i="2"/>
  <c r="O406" i="2"/>
  <c r="AR405" i="2"/>
  <c r="O405" i="2"/>
  <c r="AR404" i="2"/>
  <c r="O404" i="2"/>
  <c r="AR403" i="2"/>
  <c r="O403" i="2"/>
  <c r="AR402" i="2"/>
  <c r="O402" i="2"/>
  <c r="AR401" i="2"/>
  <c r="O401" i="2"/>
  <c r="AR400" i="2"/>
  <c r="O400" i="2"/>
  <c r="AR399" i="2"/>
  <c r="O399" i="2"/>
  <c r="AR398" i="2"/>
  <c r="O398" i="2"/>
  <c r="AR397" i="2"/>
  <c r="O397" i="2"/>
  <c r="AR396" i="2"/>
  <c r="O396" i="2"/>
  <c r="AR395" i="2"/>
  <c r="O395" i="2"/>
  <c r="AR394" i="2"/>
  <c r="O394" i="2"/>
  <c r="AR393" i="2"/>
  <c r="O393" i="2"/>
  <c r="AR392" i="2"/>
  <c r="O392" i="2"/>
  <c r="AR391" i="2"/>
  <c r="O391" i="2"/>
  <c r="AR390" i="2"/>
  <c r="O390" i="2"/>
  <c r="AR389" i="2"/>
  <c r="O389" i="2"/>
  <c r="AR388" i="2"/>
  <c r="O388" i="2"/>
  <c r="AR387" i="2"/>
  <c r="O387" i="2"/>
  <c r="AR386" i="2"/>
  <c r="O386" i="2"/>
  <c r="AR385" i="2"/>
  <c r="O385" i="2"/>
  <c r="AR384" i="2"/>
  <c r="O384" i="2"/>
  <c r="AR383" i="2"/>
  <c r="O383" i="2"/>
  <c r="AR382" i="2"/>
  <c r="O382" i="2"/>
  <c r="AR381" i="2"/>
  <c r="O381" i="2"/>
  <c r="AR380" i="2"/>
  <c r="O380" i="2"/>
  <c r="AR379" i="2"/>
  <c r="O379" i="2"/>
  <c r="AR378" i="2"/>
  <c r="O378" i="2"/>
  <c r="AR377" i="2"/>
  <c r="O377" i="2"/>
  <c r="AR376" i="2"/>
  <c r="O376" i="2"/>
  <c r="AR375" i="2"/>
  <c r="O375" i="2"/>
  <c r="AR374" i="2"/>
  <c r="O374" i="2"/>
  <c r="AR373" i="2"/>
  <c r="O373" i="2"/>
  <c r="AR372" i="2"/>
  <c r="O372" i="2"/>
  <c r="AR371" i="2"/>
  <c r="O371" i="2"/>
  <c r="AR370" i="2"/>
  <c r="O370" i="2"/>
  <c r="AR369" i="2"/>
  <c r="O369" i="2"/>
  <c r="AR368" i="2"/>
  <c r="O368" i="2"/>
  <c r="AR367" i="2"/>
  <c r="O367" i="2"/>
  <c r="AR366" i="2"/>
  <c r="O366" i="2"/>
  <c r="AR365" i="2"/>
  <c r="O365" i="2"/>
  <c r="AR364" i="2"/>
  <c r="O364" i="2"/>
  <c r="AR363" i="2"/>
  <c r="O363" i="2"/>
  <c r="AR362" i="2"/>
  <c r="O362" i="2"/>
  <c r="AR361" i="2"/>
  <c r="O361" i="2"/>
  <c r="AR360" i="2"/>
  <c r="O360" i="2"/>
  <c r="AR359" i="2"/>
  <c r="O359" i="2"/>
  <c r="AR358" i="2"/>
  <c r="O358" i="2"/>
  <c r="AR357" i="2"/>
  <c r="O357" i="2"/>
  <c r="AR356" i="2"/>
  <c r="O356" i="2"/>
  <c r="AR355" i="2"/>
  <c r="AA355" i="2"/>
  <c r="Y355" i="2"/>
  <c r="W355" i="2"/>
  <c r="U355" i="2"/>
  <c r="S355" i="2"/>
  <c r="Q355" i="2"/>
  <c r="O355" i="2"/>
  <c r="AR354" i="2"/>
  <c r="AC354" i="2"/>
  <c r="AA354" i="2"/>
  <c r="Y354" i="2"/>
  <c r="W354" i="2"/>
  <c r="U354" i="2"/>
  <c r="S354" i="2"/>
  <c r="Q354" i="2"/>
  <c r="O354" i="2"/>
  <c r="AR353" i="2"/>
  <c r="O353" i="2"/>
  <c r="AR352" i="2"/>
  <c r="O352" i="2"/>
  <c r="AR351" i="2"/>
  <c r="O351" i="2"/>
  <c r="AR350" i="2"/>
  <c r="O350" i="2"/>
  <c r="AR349" i="2"/>
  <c r="S349" i="2"/>
  <c r="Q349" i="2"/>
  <c r="O349" i="2"/>
  <c r="AR348" i="2"/>
  <c r="O348" i="2"/>
  <c r="AR347" i="2"/>
  <c r="O347" i="2"/>
  <c r="AR346" i="2"/>
  <c r="O346" i="2"/>
  <c r="AR345" i="2"/>
  <c r="Q345" i="2"/>
  <c r="O345" i="2"/>
  <c r="AR344" i="2"/>
  <c r="O344" i="2"/>
  <c r="AR343" i="2"/>
  <c r="O343" i="2"/>
  <c r="AR342" i="2"/>
  <c r="O342" i="2"/>
  <c r="AR341" i="2"/>
  <c r="O341" i="2"/>
  <c r="AR340" i="2"/>
  <c r="O340" i="2"/>
  <c r="AR339" i="2"/>
  <c r="O339" i="2"/>
  <c r="AR338" i="2"/>
  <c r="O338" i="2"/>
  <c r="AR337" i="2"/>
  <c r="O337" i="2"/>
  <c r="AR336" i="2"/>
  <c r="O336" i="2"/>
  <c r="AR335" i="2"/>
  <c r="O335" i="2"/>
  <c r="AR334" i="2"/>
  <c r="O334" i="2"/>
  <c r="AR333" i="2"/>
  <c r="O333" i="2"/>
  <c r="AR332" i="2"/>
  <c r="O332" i="2"/>
  <c r="AR331" i="2"/>
  <c r="O331" i="2"/>
  <c r="AR330" i="2"/>
  <c r="O330" i="2"/>
  <c r="AR329" i="2"/>
  <c r="O329" i="2"/>
  <c r="AR328" i="2"/>
  <c r="O328" i="2"/>
  <c r="AR327" i="2"/>
  <c r="O327" i="2"/>
  <c r="AR326" i="2"/>
  <c r="O326" i="2"/>
  <c r="AR325" i="2"/>
  <c r="O325" i="2"/>
  <c r="AR324" i="2"/>
  <c r="O324" i="2"/>
  <c r="AR323" i="2"/>
  <c r="O323" i="2"/>
  <c r="AR322" i="2"/>
  <c r="O322" i="2"/>
  <c r="AR321" i="2"/>
  <c r="O321" i="2"/>
  <c r="AR320" i="2"/>
  <c r="O320" i="2"/>
  <c r="AR319" i="2"/>
  <c r="O319" i="2"/>
  <c r="AR318" i="2"/>
  <c r="O318" i="2"/>
  <c r="AR317" i="2"/>
  <c r="O317" i="2"/>
  <c r="AR316" i="2"/>
  <c r="O316" i="2"/>
  <c r="AR315" i="2"/>
  <c r="O315" i="2"/>
  <c r="AR314" i="2"/>
  <c r="O314" i="2"/>
  <c r="AR313" i="2"/>
  <c r="O313" i="2"/>
  <c r="AR312" i="2"/>
  <c r="O312" i="2"/>
  <c r="AR311" i="2"/>
  <c r="O311" i="2"/>
  <c r="AR310" i="2"/>
  <c r="O310" i="2"/>
  <c r="AR309" i="2"/>
  <c r="O309" i="2"/>
  <c r="AR308" i="2"/>
  <c r="O308" i="2"/>
  <c r="AR307" i="2"/>
  <c r="O307" i="2"/>
  <c r="AR306" i="2"/>
  <c r="O306" i="2"/>
  <c r="AR305" i="2"/>
  <c r="O305" i="2"/>
  <c r="AR304" i="2"/>
  <c r="O304" i="2"/>
  <c r="AR303" i="2"/>
  <c r="AA303" i="2"/>
  <c r="Y303" i="2"/>
  <c r="W303" i="2"/>
  <c r="U303" i="2"/>
  <c r="S303" i="2"/>
  <c r="Q303" i="2"/>
  <c r="O303" i="2"/>
  <c r="AR302" i="2"/>
  <c r="AQ302" i="2"/>
  <c r="AO302" i="2"/>
  <c r="AM302" i="2"/>
  <c r="AK302" i="2"/>
  <c r="AI302" i="2"/>
  <c r="AG302" i="2"/>
  <c r="AE302" i="2"/>
  <c r="AC302" i="2"/>
  <c r="AA302" i="2"/>
  <c r="Y302" i="2"/>
  <c r="W302" i="2"/>
  <c r="U302" i="2"/>
  <c r="S302" i="2"/>
  <c r="Q302" i="2"/>
  <c r="O302" i="2"/>
  <c r="AR301" i="2"/>
  <c r="O301" i="2"/>
  <c r="AR300" i="2"/>
  <c r="O300" i="2"/>
  <c r="AR299" i="2"/>
  <c r="O299" i="2"/>
  <c r="AR298" i="2"/>
  <c r="O298" i="2"/>
  <c r="AR297" i="2"/>
  <c r="O297" i="2"/>
  <c r="AR296" i="2"/>
  <c r="O296" i="2"/>
  <c r="AR295" i="2"/>
  <c r="O295" i="2"/>
  <c r="AR294" i="2"/>
  <c r="O294" i="2"/>
  <c r="AR293" i="2"/>
  <c r="O293" i="2"/>
  <c r="AR292" i="2"/>
  <c r="O292" i="2"/>
  <c r="AR291" i="2"/>
  <c r="O291" i="2"/>
  <c r="AR290" i="2"/>
  <c r="O290" i="2"/>
  <c r="AR289" i="2"/>
  <c r="O289" i="2"/>
  <c r="AR288" i="2"/>
  <c r="O288" i="2"/>
  <c r="AR287" i="2"/>
  <c r="O287" i="2"/>
  <c r="AR286" i="2"/>
  <c r="O286" i="2"/>
  <c r="AR285" i="2"/>
  <c r="O285" i="2"/>
  <c r="AR284" i="2"/>
  <c r="O284" i="2"/>
  <c r="AR283" i="2"/>
  <c r="O283" i="2"/>
  <c r="AR282" i="2"/>
  <c r="U282" i="2"/>
  <c r="S282" i="2"/>
  <c r="Q282" i="2"/>
  <c r="O282" i="2"/>
  <c r="AR281" i="2"/>
  <c r="O281" i="2"/>
  <c r="AR280" i="2"/>
  <c r="O280" i="2"/>
  <c r="AR279" i="2"/>
  <c r="O279" i="2"/>
  <c r="AR278" i="2"/>
  <c r="O278" i="2"/>
  <c r="AR277" i="2"/>
  <c r="O277" i="2"/>
  <c r="AR276" i="2"/>
  <c r="O276" i="2"/>
  <c r="AR275" i="2"/>
  <c r="O275" i="2"/>
  <c r="AR274" i="2"/>
  <c r="O274" i="2"/>
  <c r="AR273" i="2"/>
  <c r="O273" i="2"/>
  <c r="AR272" i="2"/>
  <c r="O272" i="2"/>
  <c r="AR271" i="2"/>
  <c r="O271" i="2"/>
  <c r="AR270" i="2"/>
  <c r="O270" i="2"/>
  <c r="AR269" i="2"/>
  <c r="O269" i="2"/>
  <c r="AR268" i="2"/>
  <c r="O268" i="2"/>
  <c r="AR267" i="2"/>
  <c r="O267" i="2"/>
  <c r="AR266" i="2"/>
  <c r="O266" i="2"/>
  <c r="AR265" i="2"/>
  <c r="O265" i="2"/>
  <c r="AR264" i="2"/>
  <c r="Q264" i="2"/>
  <c r="O264" i="2"/>
  <c r="AR263" i="2"/>
  <c r="O263" i="2"/>
  <c r="AR262" i="2"/>
  <c r="Q262" i="2"/>
  <c r="O262" i="2"/>
  <c r="AR261" i="2"/>
  <c r="O261" i="2"/>
  <c r="AR260" i="2"/>
  <c r="O260" i="2"/>
  <c r="AR259" i="2"/>
  <c r="O259" i="2"/>
  <c r="AR258" i="2"/>
  <c r="O258" i="2"/>
  <c r="AR257" i="2"/>
  <c r="O257" i="2"/>
  <c r="AR256" i="2"/>
  <c r="O256" i="2"/>
  <c r="AR255" i="2"/>
  <c r="O255" i="2"/>
  <c r="AR254" i="2"/>
  <c r="O254" i="2"/>
  <c r="AR253" i="2"/>
  <c r="O253" i="2"/>
  <c r="AR252" i="2"/>
  <c r="O252" i="2"/>
  <c r="AR251" i="2"/>
  <c r="O251" i="2"/>
  <c r="AR250" i="2"/>
  <c r="O250" i="2"/>
  <c r="AR249" i="2"/>
  <c r="O249" i="2"/>
  <c r="AR248" i="2"/>
  <c r="O248" i="2"/>
  <c r="AR247" i="2"/>
  <c r="O247" i="2"/>
  <c r="AR246" i="2"/>
  <c r="O246" i="2"/>
  <c r="AR245" i="2"/>
  <c r="O245" i="2"/>
  <c r="AR244" i="2"/>
  <c r="O244" i="2"/>
  <c r="AR243" i="2"/>
  <c r="Q243" i="2"/>
  <c r="O243" i="2"/>
  <c r="AR242" i="2"/>
  <c r="O242" i="2"/>
  <c r="AR241" i="2"/>
  <c r="O241" i="2"/>
  <c r="AR240" i="2"/>
  <c r="O240" i="2"/>
  <c r="AR239" i="2"/>
  <c r="O239" i="2"/>
  <c r="AR238" i="2"/>
  <c r="O238" i="2"/>
  <c r="AR237" i="2"/>
  <c r="O237" i="2"/>
  <c r="AR236" i="2"/>
  <c r="O236" i="2"/>
  <c r="AR235" i="2"/>
  <c r="O235" i="2"/>
  <c r="AR234" i="2"/>
  <c r="O234" i="2"/>
  <c r="AR233" i="2"/>
  <c r="O233" i="2"/>
  <c r="AR232" i="2"/>
  <c r="O232" i="2"/>
  <c r="AR231" i="2"/>
  <c r="O231" i="2"/>
  <c r="AR230" i="2"/>
  <c r="O230" i="2"/>
  <c r="AR229" i="2"/>
  <c r="O229" i="2"/>
  <c r="AR228" i="2"/>
  <c r="O228" i="2"/>
  <c r="AR227" i="2"/>
  <c r="O227" i="2"/>
  <c r="AR226" i="2"/>
  <c r="O226" i="2"/>
  <c r="AR225" i="2"/>
  <c r="O225" i="2"/>
  <c r="AR224" i="2"/>
  <c r="Q224" i="2"/>
  <c r="O224" i="2"/>
  <c r="AR223" i="2"/>
  <c r="O223" i="2"/>
  <c r="AR222" i="2"/>
  <c r="O222" i="2"/>
  <c r="AR221" i="2"/>
  <c r="O221" i="2"/>
  <c r="AR220" i="2"/>
  <c r="O220" i="2"/>
  <c r="AR219" i="2"/>
  <c r="O219" i="2"/>
  <c r="AR218" i="2"/>
  <c r="O218" i="2"/>
  <c r="AR217" i="2"/>
  <c r="O217" i="2"/>
  <c r="AR216" i="2"/>
  <c r="O216" i="2"/>
  <c r="AR215" i="2"/>
  <c r="O215" i="2"/>
  <c r="AR214" i="2"/>
  <c r="O214" i="2"/>
  <c r="AR213" i="2"/>
  <c r="O213" i="2"/>
  <c r="AR212" i="2"/>
  <c r="O212" i="2"/>
  <c r="AR211" i="2"/>
  <c r="O211" i="2"/>
  <c r="AR210" i="2"/>
  <c r="O210" i="2"/>
  <c r="AR209" i="2"/>
  <c r="O209" i="2"/>
  <c r="AR208" i="2"/>
  <c r="O208" i="2"/>
  <c r="AR207" i="2"/>
  <c r="O207" i="2"/>
  <c r="AR206" i="2"/>
  <c r="O206" i="2"/>
  <c r="AR205" i="2"/>
  <c r="O205" i="2"/>
  <c r="AR204" i="2"/>
  <c r="O204" i="2"/>
  <c r="AR203" i="2"/>
  <c r="O203" i="2"/>
  <c r="AR202" i="2"/>
  <c r="O202" i="2"/>
  <c r="AR201" i="2"/>
  <c r="O201" i="2"/>
  <c r="AR200" i="2"/>
  <c r="O200" i="2"/>
  <c r="AR199" i="2"/>
  <c r="O199" i="2"/>
  <c r="AR198" i="2"/>
  <c r="O198" i="2"/>
  <c r="AR197" i="2"/>
  <c r="O197" i="2"/>
  <c r="AR196" i="2"/>
  <c r="O196" i="2"/>
  <c r="AR195" i="2"/>
  <c r="O195" i="2"/>
  <c r="AR194" i="2"/>
  <c r="O194" i="2"/>
  <c r="AR193" i="2"/>
  <c r="O193" i="2"/>
  <c r="AR192" i="2"/>
  <c r="O192" i="2"/>
  <c r="AR191" i="2"/>
  <c r="O191" i="2"/>
  <c r="AR190" i="2"/>
  <c r="O190" i="2"/>
  <c r="AR189" i="2"/>
  <c r="Q189" i="2"/>
  <c r="O189" i="2"/>
  <c r="AR188" i="2"/>
  <c r="O188" i="2"/>
  <c r="AR187" i="2"/>
  <c r="O187" i="2"/>
  <c r="AR186" i="2"/>
  <c r="O186" i="2"/>
  <c r="AR185" i="2"/>
  <c r="O185" i="2"/>
  <c r="AR184" i="2"/>
  <c r="O184" i="2"/>
  <c r="AR183" i="2"/>
  <c r="O183" i="2"/>
  <c r="AR182" i="2"/>
  <c r="O182" i="2"/>
  <c r="AR181" i="2"/>
  <c r="O181" i="2"/>
  <c r="AR180" i="2"/>
  <c r="O180" i="2"/>
  <c r="AR179" i="2"/>
  <c r="O179" i="2"/>
  <c r="AR178" i="2"/>
  <c r="O178" i="2"/>
  <c r="AR177" i="2"/>
  <c r="O177" i="2"/>
  <c r="AR176" i="2"/>
  <c r="O176" i="2"/>
  <c r="AR175" i="2"/>
  <c r="Q175" i="2"/>
  <c r="O175" i="2"/>
  <c r="AR174" i="2"/>
  <c r="O174" i="2"/>
  <c r="AR173" i="2"/>
  <c r="O173" i="2"/>
  <c r="AR172" i="2"/>
  <c r="O172" i="2"/>
  <c r="AR171" i="2"/>
  <c r="O171" i="2"/>
  <c r="AR170" i="2"/>
  <c r="O170" i="2"/>
  <c r="AR169" i="2"/>
  <c r="O169" i="2"/>
  <c r="AR168" i="2"/>
  <c r="O168" i="2"/>
  <c r="AR167" i="2"/>
  <c r="O167" i="2"/>
  <c r="AR166" i="2"/>
  <c r="O166" i="2"/>
  <c r="AR165" i="2"/>
  <c r="O165" i="2"/>
  <c r="AR164" i="2"/>
  <c r="O164" i="2"/>
  <c r="AR163" i="2"/>
  <c r="S163" i="2"/>
  <c r="Q163" i="2"/>
  <c r="O163" i="2"/>
  <c r="AR162" i="2"/>
  <c r="O162" i="2"/>
  <c r="AR161" i="2"/>
  <c r="O161" i="2"/>
  <c r="AR160" i="2"/>
  <c r="O160" i="2"/>
  <c r="AR159" i="2"/>
  <c r="O159" i="2"/>
  <c r="AR158" i="2"/>
  <c r="Q158" i="2"/>
  <c r="O158" i="2"/>
  <c r="AR157" i="2"/>
  <c r="AA157" i="2"/>
  <c r="Y157" i="2"/>
  <c r="W157" i="2"/>
  <c r="U157" i="2"/>
  <c r="S157" i="2"/>
  <c r="Q157" i="2"/>
  <c r="O157" i="2"/>
  <c r="AR156" i="2"/>
  <c r="W156" i="2"/>
  <c r="U156" i="2"/>
  <c r="S156" i="2"/>
  <c r="Q156" i="2"/>
  <c r="O156" i="2"/>
  <c r="AR155" i="2"/>
  <c r="O155" i="2"/>
  <c r="AR154" i="2"/>
  <c r="O154" i="2"/>
  <c r="AR153" i="2"/>
  <c r="Q153" i="2"/>
  <c r="O153" i="2"/>
  <c r="AR152" i="2"/>
  <c r="O152" i="2"/>
  <c r="AR151" i="2"/>
  <c r="O151" i="2"/>
  <c r="AR150" i="2"/>
  <c r="AA150" i="2"/>
  <c r="Y150" i="2"/>
  <c r="W150" i="2"/>
  <c r="U150" i="2"/>
  <c r="S150" i="2"/>
  <c r="Q150" i="2"/>
  <c r="O150" i="2"/>
  <c r="AR149" i="2"/>
  <c r="O149" i="2"/>
  <c r="AR148" i="2"/>
  <c r="AQ148" i="2"/>
  <c r="AO148" i="2"/>
  <c r="AM148" i="2"/>
  <c r="AK148" i="2"/>
  <c r="AI148" i="2"/>
  <c r="AG148" i="2"/>
  <c r="AE148" i="2"/>
  <c r="AC148" i="2"/>
  <c r="AA148" i="2"/>
  <c r="Y148" i="2"/>
  <c r="W148" i="2"/>
  <c r="U148" i="2"/>
  <c r="S148" i="2"/>
  <c r="Q148" i="2"/>
  <c r="O148" i="2"/>
  <c r="AR147" i="2"/>
  <c r="O147" i="2"/>
  <c r="AR146" i="2"/>
  <c r="AQ146" i="2"/>
  <c r="AO146" i="2"/>
  <c r="AM146" i="2"/>
  <c r="AK146" i="2"/>
  <c r="AI146" i="2"/>
  <c r="AG146" i="2"/>
  <c r="AE146" i="2"/>
  <c r="AC146" i="2"/>
  <c r="AA146" i="2"/>
  <c r="Y146" i="2"/>
  <c r="W146" i="2"/>
  <c r="U146" i="2"/>
  <c r="S146" i="2"/>
  <c r="Q146" i="2"/>
  <c r="O146" i="2"/>
  <c r="AR145" i="2"/>
  <c r="AQ145" i="2"/>
  <c r="AO145" i="2"/>
  <c r="AM145" i="2"/>
  <c r="AK145" i="2"/>
  <c r="AI145" i="2"/>
  <c r="AG145" i="2"/>
  <c r="AE145" i="2"/>
  <c r="AC145" i="2"/>
  <c r="AA145" i="2"/>
  <c r="Y145" i="2"/>
  <c r="W145" i="2"/>
  <c r="U145" i="2"/>
  <c r="S145" i="2"/>
  <c r="Q145" i="2"/>
  <c r="O145" i="2"/>
  <c r="AR144" i="2"/>
  <c r="Q144" i="2"/>
  <c r="O144" i="2"/>
  <c r="AR143" i="2"/>
  <c r="Q143" i="2"/>
  <c r="O143" i="2"/>
  <c r="AR142" i="2"/>
  <c r="AQ142" i="2"/>
  <c r="AO142" i="2"/>
  <c r="AM142" i="2"/>
  <c r="AK142" i="2"/>
  <c r="AI142" i="2"/>
  <c r="AG142" i="2"/>
  <c r="AE142" i="2"/>
  <c r="AC142" i="2"/>
  <c r="AA142" i="2"/>
  <c r="Y142" i="2"/>
  <c r="W142" i="2"/>
  <c r="U142" i="2"/>
  <c r="S142" i="2"/>
  <c r="Q142" i="2"/>
  <c r="O142" i="2"/>
  <c r="AR141" i="2"/>
  <c r="O141" i="2"/>
  <c r="AR140" i="2"/>
  <c r="O140" i="2"/>
  <c r="AR139" i="2"/>
  <c r="O139" i="2"/>
  <c r="AR138" i="2"/>
  <c r="O138" i="2"/>
  <c r="AR137" i="2"/>
  <c r="O137" i="2"/>
  <c r="AR136" i="2"/>
  <c r="O136" i="2"/>
  <c r="AR135" i="2"/>
  <c r="O135" i="2"/>
  <c r="AR134" i="2"/>
  <c r="O134" i="2"/>
  <c r="AR133" i="2"/>
  <c r="O133" i="2"/>
  <c r="AR132" i="2"/>
  <c r="O132" i="2"/>
  <c r="AR131" i="2"/>
  <c r="O131" i="2"/>
  <c r="AR130" i="2"/>
  <c r="O130" i="2"/>
  <c r="AR129" i="2"/>
  <c r="O129" i="2"/>
  <c r="AR128" i="2"/>
  <c r="O128" i="2"/>
  <c r="AR127" i="2"/>
  <c r="O127" i="2"/>
  <c r="AR126" i="2"/>
  <c r="O126" i="2"/>
  <c r="AR125" i="2"/>
  <c r="O125" i="2"/>
  <c r="AR124" i="2"/>
  <c r="O124" i="2"/>
  <c r="AR123" i="2"/>
  <c r="O123" i="2"/>
  <c r="AR122" i="2"/>
  <c r="O122" i="2"/>
  <c r="AR121" i="2"/>
  <c r="S121" i="2"/>
  <c r="Q121" i="2"/>
  <c r="O121" i="2"/>
  <c r="AR120" i="2"/>
  <c r="O120" i="2"/>
  <c r="AR119" i="2"/>
  <c r="Q119" i="2"/>
  <c r="O119" i="2"/>
  <c r="AR118" i="2"/>
  <c r="O118" i="2"/>
  <c r="AR117" i="2"/>
  <c r="O117" i="2"/>
  <c r="AR116" i="2"/>
  <c r="Q116" i="2"/>
  <c r="O116" i="2"/>
  <c r="AR115" i="2"/>
  <c r="O115" i="2"/>
  <c r="AR114" i="2"/>
  <c r="O114" i="2"/>
  <c r="AR113" i="2"/>
  <c r="O113" i="2"/>
  <c r="AR112" i="2"/>
  <c r="O112" i="2"/>
  <c r="AR111" i="2"/>
  <c r="O111" i="2"/>
  <c r="AR110" i="2"/>
  <c r="O110" i="2"/>
  <c r="AR109" i="2"/>
  <c r="O109" i="2"/>
  <c r="AR108" i="2"/>
  <c r="O108" i="2"/>
  <c r="AR107" i="2"/>
  <c r="O107" i="2"/>
  <c r="AR106" i="2"/>
  <c r="O106" i="2"/>
  <c r="AR105" i="2"/>
  <c r="O105" i="2"/>
  <c r="AR104" i="2"/>
  <c r="O104" i="2"/>
  <c r="AR103" i="2"/>
  <c r="O103" i="2"/>
  <c r="AR102" i="2"/>
  <c r="O102" i="2"/>
  <c r="AR101" i="2"/>
  <c r="O101" i="2"/>
  <c r="AR100" i="2"/>
  <c r="O100" i="2"/>
  <c r="AR99" i="2"/>
  <c r="O99" i="2"/>
  <c r="AR98" i="2"/>
  <c r="S98" i="2"/>
  <c r="Q98" i="2"/>
  <c r="O98" i="2"/>
  <c r="AR97" i="2"/>
  <c r="O97" i="2"/>
  <c r="AR96" i="2"/>
  <c r="O96" i="2"/>
  <c r="AR95" i="2"/>
  <c r="S95" i="2"/>
  <c r="Q95" i="2"/>
  <c r="O95" i="2"/>
  <c r="AR94" i="2"/>
  <c r="O94" i="2"/>
  <c r="AR93" i="2"/>
  <c r="O93" i="2"/>
  <c r="AR92" i="2"/>
  <c r="O92" i="2"/>
  <c r="AR91" i="2"/>
  <c r="O91" i="2"/>
  <c r="AR90" i="2"/>
  <c r="Q90" i="2"/>
  <c r="O90" i="2"/>
  <c r="AR89" i="2"/>
  <c r="O89" i="2"/>
  <c r="AR88" i="2"/>
  <c r="O88" i="2"/>
  <c r="AR87" i="2"/>
  <c r="O87" i="2"/>
  <c r="AR86" i="2"/>
  <c r="O86" i="2"/>
  <c r="AR85" i="2"/>
  <c r="O85" i="2"/>
  <c r="AR84" i="2"/>
  <c r="O84" i="2"/>
  <c r="AR83" i="2"/>
  <c r="Q83" i="2"/>
  <c r="O83" i="2"/>
  <c r="AR82" i="2"/>
  <c r="AA82" i="2"/>
  <c r="Y82" i="2"/>
  <c r="W82" i="2"/>
  <c r="U82" i="2"/>
  <c r="S82" i="2"/>
  <c r="Q82" i="2"/>
  <c r="O82" i="2"/>
  <c r="AR81" i="2"/>
  <c r="O81" i="2"/>
  <c r="AR80" i="2"/>
  <c r="O80" i="2"/>
  <c r="AR79" i="2"/>
  <c r="O79" i="2"/>
  <c r="AR78" i="2"/>
  <c r="O78" i="2"/>
  <c r="AR77" i="2"/>
  <c r="O77" i="2"/>
  <c r="AR76" i="2"/>
  <c r="O76" i="2"/>
  <c r="AR75" i="2"/>
  <c r="O75" i="2"/>
  <c r="AR74" i="2"/>
  <c r="O74" i="2"/>
  <c r="AR73" i="2"/>
  <c r="O73" i="2"/>
  <c r="AR72" i="2"/>
  <c r="O72" i="2"/>
  <c r="AR71" i="2"/>
  <c r="O71" i="2"/>
  <c r="AR70" i="2"/>
  <c r="O70" i="2"/>
  <c r="AR69" i="2"/>
  <c r="O69" i="2"/>
  <c r="AR68" i="2"/>
  <c r="O68" i="2"/>
  <c r="AR67" i="2"/>
  <c r="O67" i="2"/>
  <c r="AR66" i="2"/>
  <c r="O66" i="2"/>
  <c r="AR65" i="2"/>
  <c r="O65" i="2"/>
  <c r="AR64" i="2"/>
  <c r="O64" i="2"/>
  <c r="AR63" i="2"/>
  <c r="O63" i="2"/>
  <c r="AR62" i="2"/>
  <c r="O62" i="2"/>
  <c r="AR61" i="2"/>
  <c r="O61" i="2"/>
  <c r="AR60" i="2"/>
  <c r="O60" i="2"/>
  <c r="AR59" i="2"/>
  <c r="W59" i="2"/>
  <c r="U59" i="2"/>
  <c r="S59" i="2"/>
  <c r="Q59" i="2"/>
  <c r="O59" i="2"/>
  <c r="AR58" i="2"/>
  <c r="S58" i="2"/>
  <c r="Q58" i="2"/>
  <c r="O58" i="2"/>
  <c r="AR57" i="2"/>
  <c r="Y57" i="2"/>
  <c r="W57" i="2"/>
  <c r="U57" i="2"/>
  <c r="S57" i="2"/>
  <c r="Q57" i="2"/>
  <c r="O57" i="2"/>
  <c r="AR56" i="2"/>
  <c r="O56" i="2"/>
  <c r="AR55" i="2"/>
  <c r="AC55" i="2"/>
  <c r="AA55" i="2"/>
  <c r="Y55" i="2"/>
  <c r="W55" i="2"/>
  <c r="U55" i="2"/>
  <c r="S55" i="2"/>
  <c r="Q55" i="2"/>
  <c r="O55" i="2"/>
  <c r="AR54" i="2"/>
  <c r="O54" i="2"/>
  <c r="AR53" i="2"/>
  <c r="O53" i="2"/>
  <c r="AR52" i="2"/>
  <c r="O52" i="2"/>
  <c r="AR51" i="2"/>
  <c r="O51" i="2"/>
  <c r="AR50" i="2"/>
  <c r="O50" i="2"/>
  <c r="AR49" i="2"/>
  <c r="O49" i="2"/>
  <c r="AR48" i="2"/>
  <c r="O48" i="2"/>
  <c r="AR47" i="2"/>
  <c r="O47" i="2"/>
  <c r="AR46" i="2"/>
  <c r="O46" i="2"/>
  <c r="AR45" i="2"/>
  <c r="O45" i="2"/>
  <c r="AR44" i="2"/>
  <c r="O44" i="2"/>
  <c r="AR43" i="2"/>
  <c r="O43" i="2"/>
  <c r="AR42" i="2"/>
  <c r="O42" i="2"/>
  <c r="AR41" i="2"/>
  <c r="Q41" i="2"/>
  <c r="O41" i="2"/>
  <c r="AR40" i="2"/>
  <c r="Q40" i="2"/>
  <c r="O40" i="2"/>
  <c r="AR39" i="2"/>
  <c r="O39" i="2"/>
  <c r="AR38" i="2"/>
  <c r="O38" i="2"/>
  <c r="AR37" i="2"/>
  <c r="O37" i="2"/>
  <c r="AR36" i="2"/>
  <c r="O36" i="2"/>
  <c r="AR35" i="2"/>
  <c r="O35" i="2"/>
  <c r="AR34" i="2"/>
  <c r="O34" i="2"/>
  <c r="AR33" i="2"/>
  <c r="O33" i="2"/>
  <c r="AR32" i="2"/>
  <c r="O32" i="2"/>
  <c r="AR31" i="2"/>
  <c r="O31" i="2"/>
  <c r="AR30" i="2"/>
  <c r="O30" i="2"/>
  <c r="AR29" i="2"/>
  <c r="O29" i="2"/>
  <c r="AR28" i="2"/>
  <c r="O28" i="2"/>
  <c r="AR27" i="2"/>
  <c r="O27" i="2"/>
  <c r="AR26" i="2"/>
  <c r="O26" i="2"/>
  <c r="AR25" i="2"/>
  <c r="O25" i="2"/>
  <c r="AR24" i="2"/>
  <c r="O24" i="2"/>
  <c r="AR23" i="2"/>
  <c r="O23" i="2"/>
  <c r="AR22" i="2"/>
  <c r="O22" i="2"/>
  <c r="AR21" i="2"/>
  <c r="O21" i="2"/>
  <c r="AR20" i="2"/>
  <c r="O20" i="2"/>
  <c r="AR19" i="2"/>
  <c r="O19" i="2"/>
  <c r="AR18" i="2"/>
  <c r="O18" i="2"/>
  <c r="AR17" i="2"/>
  <c r="O17" i="2"/>
  <c r="AR16" i="2"/>
  <c r="O16" i="2"/>
  <c r="AR15" i="2"/>
  <c r="O15" i="2"/>
  <c r="AR14" i="2"/>
  <c r="O14" i="2"/>
  <c r="AR13" i="2"/>
  <c r="O13" i="2"/>
  <c r="AR12" i="2"/>
  <c r="O12" i="2"/>
  <c r="AR11" i="2"/>
  <c r="O11" i="2"/>
  <c r="D7" i="2"/>
  <c r="K8" i="3" l="1"/>
  <c r="D19" i="13"/>
  <c r="K8" i="2"/>
  <c r="D16" i="13"/>
  <c r="D15" i="13"/>
  <c r="D6" i="6"/>
  <c r="D8" i="4"/>
  <c r="D6" i="4"/>
  <c r="C17" i="4"/>
  <c r="K8" i="4"/>
  <c r="D9" i="4"/>
  <c r="D8" i="5"/>
  <c r="E7" i="2"/>
  <c r="K8" i="5"/>
  <c r="K7" i="2"/>
  <c r="D7" i="8"/>
  <c r="C13" i="5"/>
  <c r="D6" i="3"/>
  <c r="D6" i="5"/>
</calcChain>
</file>

<file path=xl/sharedStrings.xml><?xml version="1.0" encoding="utf-8"?>
<sst xmlns="http://schemas.openxmlformats.org/spreadsheetml/2006/main" count="21318" uniqueCount="4615">
  <si>
    <t>Analysis</t>
  </si>
  <si>
    <t>Property</t>
  </si>
  <si>
    <t>Values</t>
  </si>
  <si>
    <t>Files</t>
  </si>
  <si>
    <t>Unique</t>
  </si>
  <si>
    <t>Total</t>
  </si>
  <si>
    <t>Workbook Summary</t>
  </si>
  <si>
    <t>Count</t>
  </si>
  <si>
    <t>RowId</t>
  </si>
  <si>
    <t>IsVisible</t>
  </si>
  <si>
    <t>alias</t>
  </si>
  <si>
    <t>aliases</t>
  </si>
  <si>
    <t>area</t>
  </si>
  <si>
    <t>author</t>
  </si>
  <si>
    <t>banner</t>
  </si>
  <si>
    <t>career</t>
  </si>
  <si>
    <t>channel</t>
  </si>
  <si>
    <t>checklist</t>
  </si>
  <si>
    <t>course</t>
  </si>
  <si>
    <t>created</t>
  </si>
  <si>
    <t>created:</t>
  </si>
  <si>
    <t>cssclass</t>
  </si>
  <si>
    <t>Notes:</t>
  </si>
  <si>
    <t>cssclasses</t>
  </si>
  <si>
    <t xml:space="preserve"> - Inline Properties and Tags will end with a ":" and appear in bold/italics.</t>
  </si>
  <si>
    <t>cuisine</t>
  </si>
  <si>
    <t xml:space="preserve">      This was actually a bug that I decided to turn into a feature, for now.;-)</t>
  </si>
  <si>
    <t>date</t>
  </si>
  <si>
    <t xml:space="preserve">      Version 2 will handle inline P+T, properly, grouping them and having</t>
  </si>
  <si>
    <t>date added</t>
  </si>
  <si>
    <t xml:space="preserve">      separate totals.</t>
  </si>
  <si>
    <t>deadline</t>
  </si>
  <si>
    <t xml:space="preserve"> - You can use Table Heading Filters to look at specific tabs.</t>
  </si>
  <si>
    <t>description</t>
  </si>
  <si>
    <t xml:space="preserve">      When filters are applied, tab totals will reflect the filtered data and</t>
  </si>
  <si>
    <t>dnotedate</t>
  </si>
  <si>
    <t xml:space="preserve">      a warning will display next to the tab Totals Section</t>
  </si>
  <si>
    <t>duration</t>
  </si>
  <si>
    <t xml:space="preserve"> - The "Total" column reflects the total number of links found in all markdown files.</t>
  </si>
  <si>
    <t>expires</t>
  </si>
  <si>
    <t xml:space="preserve"> - All Properties and Tags are listed in lowercase, as that is how Obsidian sees them.</t>
  </si>
  <si>
    <t>fileclass</t>
  </si>
  <si>
    <t xml:space="preserve">     The FileDetails Tab shows them as entered, if lowercase was not used.</t>
  </si>
  <si>
    <t>finished</t>
  </si>
  <si>
    <t>icon</t>
  </si>
  <si>
    <t>id</t>
  </si>
  <si>
    <t>image</t>
  </si>
  <si>
    <t>kanban-plugin</t>
  </si>
  <si>
    <t>keywords</t>
  </si>
  <si>
    <t>limit</t>
  </si>
  <si>
    <t>links</t>
  </si>
  <si>
    <t>mapwithtag</t>
  </si>
  <si>
    <t>month</t>
  </si>
  <si>
    <t>nline_prop</t>
  </si>
  <si>
    <t>p_aliases</t>
  </si>
  <si>
    <t>p_busaddr</t>
  </si>
  <si>
    <t>p_busemail</t>
  </si>
  <si>
    <t>p_busname</t>
  </si>
  <si>
    <t>p_bustitle</t>
  </si>
  <si>
    <t>p_buswebsite</t>
  </si>
  <si>
    <t>p_commonnicknames</t>
  </si>
  <si>
    <t>p_contactemail</t>
  </si>
  <si>
    <t>p_contactphone</t>
  </si>
  <si>
    <t>p_contactsms</t>
  </si>
  <si>
    <t>p_desc</t>
  </si>
  <si>
    <t>p_doa</t>
  </si>
  <si>
    <t>p_dob</t>
  </si>
  <si>
    <t>p_dod</t>
  </si>
  <si>
    <t>p_dos</t>
  </si>
  <si>
    <t>p_edaddr</t>
  </si>
  <si>
    <t>p_eddegree</t>
  </si>
  <si>
    <t>p_edenrolled</t>
  </si>
  <si>
    <t>p_edmajor</t>
  </si>
  <si>
    <t>p_edminor</t>
  </si>
  <si>
    <t>p_edschoolname</t>
  </si>
  <si>
    <t>p_edyear</t>
  </si>
  <si>
    <t>p_ethnicity</t>
  </si>
  <si>
    <t>p_famchildren</t>
  </si>
  <si>
    <t>p_famfather</t>
  </si>
  <si>
    <t>p_fammother</t>
  </si>
  <si>
    <t>p_famsiblings</t>
  </si>
  <si>
    <t>p_gender</t>
  </si>
  <si>
    <t>p_hailsfrom</t>
  </si>
  <si>
    <t>p_hangswith</t>
  </si>
  <si>
    <t>p_homeaddr</t>
  </si>
  <si>
    <t>p_homecity</t>
  </si>
  <si>
    <t>p_homest</t>
  </si>
  <si>
    <t>p_homeyears</t>
  </si>
  <si>
    <t>p_homezip</t>
  </si>
  <si>
    <t>p_hotbuttons</t>
  </si>
  <si>
    <t>p_interests</t>
  </si>
  <si>
    <t>p_lgbtqplus</t>
  </si>
  <si>
    <t>p_living</t>
  </si>
  <si>
    <t>p_maritalstatus</t>
  </si>
  <si>
    <t>p_meeting</t>
  </si>
  <si>
    <t>p_military</t>
  </si>
  <si>
    <t>p_namefirst</t>
  </si>
  <si>
    <t>p_namefull</t>
  </si>
  <si>
    <t>p_nameknownas</t>
  </si>
  <si>
    <t>p_namelast</t>
  </si>
  <si>
    <t>p_namelastinitial</t>
  </si>
  <si>
    <t>p_namemaiden</t>
  </si>
  <si>
    <t>p_namemiddle</t>
  </si>
  <si>
    <t>p_partner</t>
  </si>
  <si>
    <t>p_pic</t>
  </si>
  <si>
    <t>p_picthumb</t>
  </si>
  <si>
    <t>p_politics</t>
  </si>
  <si>
    <t>p_schoolname</t>
  </si>
  <si>
    <t>p_suffix</t>
  </si>
  <si>
    <t>p_sunsign</t>
  </si>
  <si>
    <t>p_title</t>
  </si>
  <si>
    <t>p_type</t>
  </si>
  <si>
    <t>p_uidfb</t>
  </si>
  <si>
    <t>p_uidfreqs</t>
  </si>
  <si>
    <t>p_uidig</t>
  </si>
  <si>
    <t>p_uidli</t>
  </si>
  <si>
    <t>p_uidx</t>
  </si>
  <si>
    <t>personal</t>
  </si>
  <si>
    <t>project</t>
  </si>
  <si>
    <t>published</t>
  </si>
  <si>
    <t>quarter</t>
  </si>
  <si>
    <t>rating</t>
  </si>
  <si>
    <t>rating:</t>
  </si>
  <si>
    <t>resource</t>
  </si>
  <si>
    <t>searchterm</t>
  </si>
  <si>
    <t>source</t>
  </si>
  <si>
    <t>started</t>
  </si>
  <si>
    <t>status</t>
  </si>
  <si>
    <t>sticker</t>
  </si>
  <si>
    <t>subvault</t>
  </si>
  <si>
    <t>summary</t>
  </si>
  <si>
    <t>thumbnail</t>
  </si>
  <si>
    <t>title</t>
  </si>
  <si>
    <t>tversion</t>
  </si>
  <si>
    <t>tversion:</t>
  </si>
  <si>
    <t>up</t>
  </si>
  <si>
    <t>updated</t>
  </si>
  <si>
    <t>url</t>
  </si>
  <si>
    <t>vDate</t>
  </si>
  <si>
    <t>All Vault Properties and Values with links to their Notes</t>
  </si>
  <si>
    <t>Unique Values</t>
  </si>
  <si>
    <t>Totals</t>
  </si>
  <si>
    <t>Properties</t>
  </si>
  <si>
    <t>P-V Index</t>
  </si>
  <si>
    <t>File01</t>
  </si>
  <si>
    <t xml:space="preserve">S1  </t>
  </si>
  <si>
    <t>File02</t>
  </si>
  <si>
    <t xml:space="preserve">S2  </t>
  </si>
  <si>
    <t>File03</t>
  </si>
  <si>
    <t xml:space="preserve">S3  </t>
  </si>
  <si>
    <t>File04</t>
  </si>
  <si>
    <t xml:space="preserve">S4  </t>
  </si>
  <si>
    <t>File05</t>
  </si>
  <si>
    <t xml:space="preserve">S5  </t>
  </si>
  <si>
    <t>File06</t>
  </si>
  <si>
    <t xml:space="preserve">S6  </t>
  </si>
  <si>
    <t>File07</t>
  </si>
  <si>
    <t xml:space="preserve">S7  </t>
  </si>
  <si>
    <t>File08</t>
  </si>
  <si>
    <t xml:space="preserve">S8  </t>
  </si>
  <si>
    <t>File09</t>
  </si>
  <si>
    <t xml:space="preserve">S9  </t>
  </si>
  <si>
    <t>File10</t>
  </si>
  <si>
    <t xml:space="preserve">S10  </t>
  </si>
  <si>
    <t>File11</t>
  </si>
  <si>
    <t xml:space="preserve">S11  </t>
  </si>
  <si>
    <t>File12</t>
  </si>
  <si>
    <t xml:space="preserve">S12  </t>
  </si>
  <si>
    <t>File13</t>
  </si>
  <si>
    <t xml:space="preserve">S13  </t>
  </si>
  <si>
    <t>File14</t>
  </si>
  <si>
    <t xml:space="preserve">S14  </t>
  </si>
  <si>
    <t>File15</t>
  </si>
  <si>
    <t>Metadata on Pages</t>
  </si>
  <si>
    <t>001-00001</t>
  </si>
  <si>
    <t/>
  </si>
  <si>
    <t>Random packages from Walmart I didn't order (best, phones, online) - Shopping and Consumer Products -stores, auctions, buying and selling, brands, malls, markets, Internet... - City-Data Forum</t>
  </si>
  <si>
    <t>001-00002</t>
  </si>
  <si>
    <t>12 Steps</t>
  </si>
  <si>
    <t>002-00001</t>
  </si>
  <si>
    <t>20 AMAZING Art Workspace Hacks (FREE or cheap!)</t>
  </si>
  <si>
    <t>002-00002</t>
  </si>
  <si>
    <t>22 FREE Windows Utilities EVERY User MUST Know About!</t>
  </si>
  <si>
    <t>002-00003</t>
  </si>
  <si>
    <t>8 Easy Food Plating Hacks That Will Blow You Away</t>
  </si>
  <si>
    <t>002-00004</t>
  </si>
  <si>
    <t>Add A New User</t>
  </si>
  <si>
    <t>002-00005</t>
  </si>
  <si>
    <t>Auto Note Mover Plugin</t>
  </si>
  <si>
    <t>002-00006</t>
  </si>
  <si>
    <t>Better Than Grandma's Dinner! My Parents Were Stunned After Trying It!!!</t>
  </si>
  <si>
    <t>002-00007</t>
  </si>
  <si>
    <t>Blooms Taxonomy</t>
  </si>
  <si>
    <t>002-00008</t>
  </si>
  <si>
    <t>Collection of random CSS hacks for Firefox</t>
  </si>
  <si>
    <t>002-00009</t>
  </si>
  <si>
    <t>Totals reflect column filters. This can be useful while</t>
  </si>
  <si>
    <t>Delete Users</t>
  </si>
  <si>
    <t>002-00010</t>
  </si>
  <si>
    <t>analyzing how and where specific properties are used.</t>
  </si>
  <si>
    <t>Free Lightroom Tutorial | Adobe Lightroom Essentials Training Course</t>
  </si>
  <si>
    <t>002-00011</t>
  </si>
  <si>
    <t>Higher Order Thinking</t>
  </si>
  <si>
    <t>002-00012</t>
  </si>
  <si>
    <t>How I Would Learn Obsidian MD (If I could start over)</t>
  </si>
  <si>
    <t>002-00013</t>
  </si>
  <si>
    <t>How To Cook a Chicken Breast</t>
  </si>
  <si>
    <t>002-00014</t>
  </si>
  <si>
    <t>How To Fix UEFI Partition</t>
  </si>
  <si>
    <t>002-00015</t>
  </si>
  <si>
    <t>How To Hide Wires Behind Wall - NO DRYWALL REPAIR NEEDED. Hiding Wires</t>
  </si>
  <si>
    <t>002-00016</t>
  </si>
  <si>
    <t>How To Make A Flat Icon &amp; Shadow Using The Blend Tool In Adobe Illustrator</t>
  </si>
  <si>
    <t>002-00017</t>
  </si>
  <si>
    <t>How to Create Fluid Color Abstract Background Fast &amp; Simple Adobe Illustrator Tutorial</t>
  </si>
  <si>
    <t>002-00018</t>
  </si>
  <si>
    <t>I Made an App that KEEPS Windows 11 Debloated &amp; Optimized</t>
  </si>
  <si>
    <t>002-00019</t>
  </si>
  <si>
    <t>List Users</t>
  </si>
  <si>
    <t>002-00020</t>
  </si>
  <si>
    <t>Loved Ones</t>
  </si>
  <si>
    <t>002-00021</t>
  </si>
  <si>
    <t>Make a USB CasaOS Recovery Drive</t>
  </si>
  <si>
    <t>002-00022</t>
  </si>
  <si>
    <t>Move DATA to S drive</t>
  </si>
  <si>
    <t>002-00023</t>
  </si>
  <si>
    <t>My Clean, Modern Desk Setup for Productivity &amp; Creativity</t>
  </si>
  <si>
    <t>002-00024</t>
  </si>
  <si>
    <t>Nginx Proxy Manager</t>
  </si>
  <si>
    <t>002-00025</t>
  </si>
  <si>
    <t>PKM MOC</t>
  </si>
  <si>
    <t>002-00026</t>
  </si>
  <si>
    <t>Rename Users</t>
  </si>
  <si>
    <t>002-00027</t>
  </si>
  <si>
    <t>Step 1</t>
  </si>
  <si>
    <t>002-00028</t>
  </si>
  <si>
    <t>Step One</t>
  </si>
  <si>
    <t>002-00029</t>
  </si>
  <si>
    <t>The Perfect Diane Sauce - Chicken Diane | Chef Jean-Pierre</t>
  </si>
  <si>
    <t>002-00030</t>
  </si>
  <si>
    <t>The Ultimate Cable Management Tier List</t>
  </si>
  <si>
    <t>002-00031</t>
  </si>
  <si>
    <t>Time to UNSUBSCRIBE from Disney+, Netflix, etc!</t>
  </si>
  <si>
    <t>002-00032</t>
  </si>
  <si>
    <t>Twelve Concepts</t>
  </si>
  <si>
    <t>002-00033</t>
  </si>
  <si>
    <t>Twelve Steps</t>
  </si>
  <si>
    <t>002-00034</t>
  </si>
  <si>
    <t>Twelve Virtues</t>
  </si>
  <si>
    <t>002-00035</t>
  </si>
  <si>
    <t>ULTRA Productive iPad Home Screen Setup (Apps, Widgets, Shortcuts, Focus Modes)</t>
  </si>
  <si>
    <t>002-00036</t>
  </si>
  <si>
    <t>Windows 10 and 11 Wont Boot</t>
  </si>
  <si>
    <t>002-00037</t>
  </si>
  <si>
    <t>Winhance Utility</t>
  </si>
  <si>
    <t>002-00038</t>
  </si>
  <si>
    <t>YAML Example</t>
  </si>
  <si>
    <t>002-00039</t>
  </si>
  <si>
    <t>deoldify</t>
  </si>
  <si>
    <t>002-00040</t>
  </si>
  <si>
    <t>[[⚓ AA Recovery]]</t>
  </si>
  <si>
    <t>003-00001</t>
  </si>
  <si>
    <t>[[⚓ Brain2]]</t>
  </si>
  <si>
    <t>003-00002</t>
  </si>
  <si>
    <t>[[⚓ CWS]]</t>
  </si>
  <si>
    <t>003-00003</t>
  </si>
  <si>
    <t>[[⚓ Family]]</t>
  </si>
  <si>
    <t>003-00004</t>
  </si>
  <si>
    <t>[[⚓ Finances]]</t>
  </si>
  <si>
    <t>003-00005</t>
  </si>
  <si>
    <t>[[⚓ Health]]</t>
  </si>
  <si>
    <t>003-00006</t>
  </si>
  <si>
    <t>⚓ CWS</t>
  </si>
  <si>
    <t>003-00007</t>
  </si>
  <si>
    <t>🦋 Unassigned</t>
  </si>
  <si>
    <t>003-00008</t>
  </si>
  <si>
    <t>Alex Mathers</t>
  </si>
  <si>
    <t>004-00001</t>
  </si>
  <si>
    <t>Arif Bacchus</t>
  </si>
  <si>
    <t>004-00002</t>
  </si>
  <si>
    <t>BTODtv</t>
  </si>
  <si>
    <t>004-00003</t>
  </si>
  <si>
    <t>Baeldung on Linux</t>
  </si>
  <si>
    <t>004-00004</t>
  </si>
  <si>
    <t>Bring Your Own Laptop</t>
  </si>
  <si>
    <t>004-00005</t>
  </si>
  <si>
    <t>Chef Jean-Pierre</t>
  </si>
  <si>
    <t>004-00006</t>
  </si>
  <si>
    <t>Chris Maher</t>
  </si>
  <si>
    <t>004-00007</t>
  </si>
  <si>
    <t>CyberCPU Tech</t>
  </si>
  <si>
    <t>004-00008</t>
  </si>
  <si>
    <t>DailyTekk</t>
  </si>
  <si>
    <t>004-00009</t>
  </si>
  <si>
    <t>Daniel Titchener</t>
  </si>
  <si>
    <t>004-00010</t>
  </si>
  <si>
    <t>Design Bundles</t>
  </si>
  <si>
    <t>004-00011</t>
  </si>
  <si>
    <t>Emine Saner</t>
  </si>
  <si>
    <t>004-00012</t>
  </si>
  <si>
    <t>Guray Yildirim</t>
  </si>
  <si>
    <t>004-00013</t>
  </si>
  <si>
    <t>In the Studio with Michele Webber</t>
  </si>
  <si>
    <t>004-00014</t>
  </si>
  <si>
    <t>Jack Wallen</t>
  </si>
  <si>
    <t>004-00015</t>
  </si>
  <si>
    <t>Jeff Geerling</t>
  </si>
  <si>
    <t>004-00016</t>
  </si>
  <si>
    <t>John Mavrick</t>
  </si>
  <si>
    <t>004-00017</t>
  </si>
  <si>
    <t>Joseph Alongi</t>
  </si>
  <si>
    <t>004-00018</t>
  </si>
  <si>
    <t>Kevin Carrillo</t>
  </si>
  <si>
    <t>004-00019</t>
  </si>
  <si>
    <t>Ladalidi</t>
  </si>
  <si>
    <t>004-00020</t>
  </si>
  <si>
    <t>Linode</t>
  </si>
  <si>
    <t>004-00021</t>
  </si>
  <si>
    <t>Matthias C. Hormann a.k.a. Moonbase59</t>
  </si>
  <si>
    <t>004-00022</t>
  </si>
  <si>
    <t>Memory</t>
  </si>
  <si>
    <t>004-00023</t>
  </si>
  <si>
    <t>Ruben Abreu</t>
  </si>
  <si>
    <t>004-00024</t>
  </si>
  <si>
    <t>Run The Joules</t>
  </si>
  <si>
    <t>004-00025</t>
  </si>
  <si>
    <t>Samantha K. Norelli</t>
  </si>
  <si>
    <t>004-00026</t>
  </si>
  <si>
    <t>Scrumdiddlyumptious</t>
  </si>
  <si>
    <t>004-00027</t>
  </si>
  <si>
    <t>Swen Larsen</t>
  </si>
  <si>
    <t>004-00028</t>
  </si>
  <si>
    <t>The People Profiles</t>
  </si>
  <si>
    <t>004-00029</t>
  </si>
  <si>
    <t>Webspoon World</t>
  </si>
  <si>
    <t>004-00030</t>
  </si>
  <si>
    <t>Whitson Gordon</t>
  </si>
  <si>
    <t>004-00031</t>
  </si>
  <si>
    <t>[[Eleanor Konik]]</t>
  </si>
  <si>
    <t>004-00032</t>
  </si>
  <si>
    <t>[[bannerForteLabs1380x200.png]]</t>
  </si>
  <si>
    <t>005-00001</t>
  </si>
  <si>
    <t>media/banners/⚓ Astronomy1380x200.png</t>
  </si>
  <si>
    <t>005-00002</t>
  </si>
  <si>
    <t>z_meta/media/banners/People1380x200.png</t>
  </si>
  <si>
    <t>005-00003</t>
  </si>
  <si>
    <t>z_meta/media/banners/RealEstate1200x375.png</t>
  </si>
  <si>
    <t>005-00004</t>
  </si>
  <si>
    <t>z_meta/media/banners/⚓ Areas1380x200.png</t>
  </si>
  <si>
    <t>005-00005</t>
  </si>
  <si>
    <t>z_meta/media/banners/🦋 Astronomy1380x200.png</t>
  </si>
  <si>
    <t>005-00006</t>
  </si>
  <si>
    <t>[[2022-M07Biggest Career Achievement|💼]]</t>
  </si>
  <si>
    <t>006-00001</t>
  </si>
  <si>
    <t>[[2022-Q3Biggest Career Achievement|💼]]</t>
  </si>
  <si>
    <t>006-00002</t>
  </si>
  <si>
    <t>[[2022-W28Biggest Career Achievement|💼]]</t>
  </si>
  <si>
    <t>006-00003</t>
  </si>
  <si>
    <t>[[2022Biggest Career Achievement|💼]]</t>
  </si>
  <si>
    <t>006-00004</t>
  </si>
  <si>
    <t>[[2024-Q4Biggest Career Achievement|💼]]</t>
  </si>
  <si>
    <t>006-00005</t>
  </si>
  <si>
    <t>007-00001</t>
  </si>
  <si>
    <t>007-00002</t>
  </si>
  <si>
    <t>007-00003</t>
  </si>
  <si>
    <t>007-00004</t>
  </si>
  <si>
    <t>007-00005</t>
  </si>
  <si>
    <t>007-00006</t>
  </si>
  <si>
    <t>007-00007</t>
  </si>
  <si>
    <t>007-00008</t>
  </si>
  <si>
    <t>007-00009</t>
  </si>
  <si>
    <t>007-00010</t>
  </si>
  <si>
    <t>007-00011</t>
  </si>
  <si>
    <t>007-00012</t>
  </si>
  <si>
    <t>007-00013</t>
  </si>
  <si>
    <t>007-00014</t>
  </si>
  <si>
    <t>007-00015</t>
  </si>
  <si>
    <t>007-00016</t>
  </si>
  <si>
    <t>[The People Profiles](https://www.youtube.com/@PeopleProfiles)</t>
  </si>
  <si>
    <t>007-00017</t>
  </si>
  <si>
    <t>008-00001</t>
  </si>
  <si>
    <t>Drinks</t>
  </si>
  <si>
    <t>009-00001</t>
  </si>
  <si>
    <t>2023-11-26T18:14:48 (UTC -05:00)</t>
  </si>
  <si>
    <t>010-00001</t>
  </si>
  <si>
    <t>2023-02-14T07:21:25 (UTC -05:00)</t>
  </si>
  <si>
    <t>010-00002</t>
  </si>
  <si>
    <t>2023-11-26T11:13:11 (UTC -05:00)</t>
  </si>
  <si>
    <t>010-00003</t>
  </si>
  <si>
    <t>2024-01-14T12:36:35 (UTC -05:00)</t>
  </si>
  <si>
    <t>010-00004</t>
  </si>
  <si>
    <t>2023-12-09T12:09:32 (UTC -05:00)</t>
  </si>
  <si>
    <t>010-00005</t>
  </si>
  <si>
    <t>2024-02-01T08:08:33 (UTC -05:00)</t>
  </si>
  <si>
    <t>010-00006</t>
  </si>
  <si>
    <t>2023-12-01T11:53:13 (UTC -05:00)</t>
  </si>
  <si>
    <t>010-00007</t>
  </si>
  <si>
    <t>010-00008</t>
  </si>
  <si>
    <t>2023-02-08T22:07:24 (UTC -05:00)</t>
  </si>
  <si>
    <t>010-00009</t>
  </si>
  <si>
    <t>2023-03-10T15:45:51 (UTC -05:00)</t>
  </si>
  <si>
    <t>010-00010</t>
  </si>
  <si>
    <t>2023-07-08T15:10:13 (UTC -04:00)</t>
  </si>
  <si>
    <t>010-00011</t>
  </si>
  <si>
    <t>2023-09-01T11:18:35 (UTC -04:00)</t>
  </si>
  <si>
    <t>010-00012</t>
  </si>
  <si>
    <t>2023-03-06T18:24:31 (UTC -05:00)</t>
  </si>
  <si>
    <t>010-00013</t>
  </si>
  <si>
    <t>2023-09-16T09:14:44 (UTC -04:00)</t>
  </si>
  <si>
    <t>010-00014</t>
  </si>
  <si>
    <t>2023-09-11T17:13:32 (UTC -04:00)</t>
  </si>
  <si>
    <t>010-00015</t>
  </si>
  <si>
    <t>2024-02-06T13:35:54 (UTC -05:00)</t>
  </si>
  <si>
    <t>010-00016</t>
  </si>
  <si>
    <t>2023-01-23 08:01</t>
  </si>
  <si>
    <t>011-00001</t>
  </si>
  <si>
    <t>2023-01-23 20:01</t>
  </si>
  <si>
    <t>011-00002</t>
  </si>
  <si>
    <t>&lt;%tp.date.now("YYYY-MM-DD HH:MM") %&gt;</t>
  </si>
  <si>
    <t>011-00003</t>
  </si>
  <si>
    <t>banner-image</t>
  </si>
  <si>
    <t>012-00001</t>
  </si>
  <si>
    <t>table-wide</t>
  </si>
  <si>
    <t>012-00002</t>
  </si>
  <si>
    <t>text-justify, wide-page, minimal-float</t>
  </si>
  <si>
    <t>012-00003</t>
  </si>
  <si>
    <t>wide-page</t>
  </si>
  <si>
    <t>012-00004</t>
  </si>
  <si>
    <t>013-00001</t>
  </si>
  <si>
    <t>banner-images</t>
  </si>
  <si>
    <t>013-00002</t>
  </si>
  <si>
    <t>013-00003</t>
  </si>
  <si>
    <t>American</t>
  </si>
  <si>
    <t>014-00001</t>
  </si>
  <si>
    <t>015-00001</t>
  </si>
  <si>
    <t>015-00002</t>
  </si>
  <si>
    <t>016-00001</t>
  </si>
  <si>
    <t>017-00001</t>
  </si>
  <si>
    <t>Maintain</t>
  </si>
  <si>
    <t>017-00002</t>
  </si>
  <si>
    <t>017-00003</t>
  </si>
  <si>
    <t>Ongoing</t>
  </si>
  <si>
    <t>017-00004</t>
  </si>
  <si>
    <t>Open</t>
  </si>
  <si>
    <t>017-00005</t>
  </si>
  <si>
    <t>017-00006</t>
  </si>
  <si>
    <t>017-00007</t>
  </si>
  <si>
    <t>Why do I refuse help from people who have my best interests in mind?  Why do I keep intentionally hurting myself? How often have you asked yourself these questions? Self-destructive behavior can be a daunting topic. It's like a dark gremlin that lurks in the corners of existence; it hides in those places that we train ourselves to overlook and intentionally avoid. But the more we put off facing our self-destructive tendencies, the more they consume us. Are you ready to face this part of you? Are you ready to get some answers and reach out for help? (By the</t>
  </si>
  <si>
    <t>018-00001</t>
  </si>
  <si>
    <t>Three bills investing hundreds of billions into technological development could change the way we think about government’s role in growing prosperity.</t>
  </si>
  <si>
    <t>018-00002</t>
  </si>
  <si>
    <t>Need cheap web hosting? These 7 hosts offer solid performance and support without breaking the bank. Starting at just $1.39 per month!</t>
  </si>
  <si>
    <t>018-00003</t>
  </si>
  <si>
    <t>018-00004</t>
  </si>
  <si>
    <t>This Web site is dedicated to the wonderful world of the short story and to all who enjoy reading shorts stories as I do. I will try to add a few short stories every month.</t>
  </si>
  <si>
    <t>018-00005</t>
  </si>
  <si>
    <t>018-00006</t>
  </si>
  <si>
    <t>Take a whirlwind tour of your next favorite language. Community-driven!</t>
  </si>
  <si>
    <t>018-00007</t>
  </si>
  <si>
    <t>How many times have most of us vowed “I’m done , and I’m never doing it again,” only to find yourself doing it again? Frustrating, isn't it? Yet this is the</t>
  </si>
  <si>
    <t>018-00008</t>
  </si>
  <si>
    <t>unicode fraction substitution using AutoHotKey</t>
  </si>
  <si>
    <t>018-00009</t>
  </si>
  <si>
    <t>The first thing you should know? The dates, as we know them, have nothing to do with safety. J. Kenji López-Alt explains.</t>
  </si>
  <si>
    <t>018-00010</t>
  </si>
  <si>
    <t>Wondering what questions to ask a realtor when selling your house? Find the 13 questions you must ask and the answers you should get.</t>
  </si>
  <si>
    <t>018-00011</t>
  </si>
  <si>
    <t>Discover 22 free Windows 10 &amp; 11 utilities for debloating, customizing, boosting sound, screen mirroring, free VPNs, and more!</t>
  </si>
  <si>
    <t>018-00012</t>
  </si>
  <si>
    <t>A Deep Learning based project for colorizing and restoring old images (and video!) - GitHub - jantic/DeOldify: A Deep Learning based project for colorizing and restoring old images (and video!)</t>
  </si>
  <si>
    <t>018-00013</t>
  </si>
  <si>
    <t>Satellite internet is rapidly becoming more useful with the introduction of low-orbit networks, like Starlink and Iridium, and Amazon has been building up its own network. Amazon has now revealed more details about how it will work.</t>
  </si>
  <si>
    <t>018-00014</t>
  </si>
  <si>
    <t>We need physical spaces for serendipitous, productivity-free conversation.</t>
  </si>
  <si>
    <t>018-00015</t>
  </si>
  <si>
    <t>The AI Revolution has brought about many tools designed to enhance productivity and transform work. This article will highlight the top AI…</t>
  </si>
  <si>
    <t>018-00016</t>
  </si>
  <si>
    <t>This article has a hand-picked list of ten popular AI websites that could make your life easier. Many parts of our daily lives have…</t>
  </si>
  <si>
    <t>018-00017</t>
  </si>
  <si>
    <t>Artificial Intelligence (AI) has been growing at an unprecedented rate, and with new technologies emerging every day, it has become…</t>
  </si>
  <si>
    <t>018-00018</t>
  </si>
  <si>
    <t>As an entrepreneur, keeping up with the latest trends and information in your industry is crucial. One tool that can help you achieve this…</t>
  </si>
  <si>
    <t>018-00019</t>
  </si>
  <si>
    <t>This trick enables always-on display on iPhone.</t>
  </si>
  <si>
    <t>018-00020</t>
  </si>
  <si>
    <t>Sometimes you need to make changes to multiple text files—for example, if you want to update some files to use US spelling instead of UK spelling. In this quick tip, I will show you an example...</t>
  </si>
  <si>
    <t>018-00021</t>
  </si>
  <si>
    <t>No-nonsense advice with a little bit of nonsense.</t>
  </si>
  <si>
    <t>018-00022</t>
  </si>
  <si>
    <t>Style guides for Google-originated open-source projects</t>
  </si>
  <si>
    <t>018-00023</t>
  </si>
  <si>
    <t>Trying to get a sense of what is going on here. Obviously I'm suspicious. Yesterday o received a random package from Walmart.com. As far as I know I</t>
  </si>
  <si>
    <t>018-00024</t>
  </si>
  <si>
    <t>Relaxation techniques are therapeutic exercises designed to assist individuals with decreasing tension and anxiety, physically and psychologically. Strategies to assist patients with relaxation have long been a hallmark component of psychotherapy; however, they can be utilized throughout healthcare environments as complementary therapies to treat patients experiencing various types of distress, including but not limited to anxiety, depression, pain, and stress[1]. Relaxation techniques encompass an array of strategies to increase feelings of calm and decrease feelings of stress. Feelings of stress can include physiological responses such as increased heart rate, shortness of breath, and muscle tension, along with the subjective emotional experience; and relaxation techniques can aid in the reduction of these symptoms[2]. Many variations of relaxation strategies exist and can be facilitated by a variety of health professionals and learned via self-help.</t>
  </si>
  <si>
    <t>018-00025</t>
  </si>
  <si>
    <t>New research suggests that to maintain a healthy brain, we should tend our gut microbiome. The best way to do that right now is not through pills and supplements, but better food.</t>
  </si>
  <si>
    <t>018-00026</t>
  </si>
  <si>
    <t>A better Thread for the smart home</t>
  </si>
  <si>
    <t>018-00027</t>
  </si>
  <si>
    <t>Isn’t the Internet great?</t>
  </si>
  <si>
    <t>018-00028</t>
  </si>
  <si>
    <t>019-00001</t>
  </si>
  <si>
    <t>019-00002</t>
  </si>
  <si>
    <t>Open Task Review</t>
  </si>
  <si>
    <t>019-00003</t>
  </si>
  <si>
    <t>019-00004</t>
  </si>
  <si>
    <t>019-00005</t>
  </si>
  <si>
    <t>019-00006</t>
  </si>
  <si>
    <t>019-00007</t>
  </si>
  <si>
    <t>019-00008</t>
  </si>
  <si>
    <t>019-00009</t>
  </si>
  <si>
    <t>019-00010</t>
  </si>
  <si>
    <t>019-00011</t>
  </si>
  <si>
    <t>019-00012</t>
  </si>
  <si>
    <t>019-00013</t>
  </si>
  <si>
    <t>019-00014</t>
  </si>
  <si>
    <t>019-00015</t>
  </si>
  <si>
    <t>019-00016</t>
  </si>
  <si>
    <t>019-00017</t>
  </si>
  <si>
    <t>019-00018</t>
  </si>
  <si>
    <t>019-00019</t>
  </si>
  <si>
    <t>019-00020</t>
  </si>
  <si>
    <t>019-00021</t>
  </si>
  <si>
    <t>019-00022</t>
  </si>
  <si>
    <t>019-00023</t>
  </si>
  <si>
    <t>019-00024</t>
  </si>
  <si>
    <t>019-00025</t>
  </si>
  <si>
    <t>019-00026</t>
  </si>
  <si>
    <t>019-00027</t>
  </si>
  <si>
    <t>019-00028</t>
  </si>
  <si>
    <t>019-00029</t>
  </si>
  <si>
    <t>019-00030</t>
  </si>
  <si>
    <t>019-00031</t>
  </si>
  <si>
    <t>019-00032</t>
  </si>
  <si>
    <t>019-00033</t>
  </si>
  <si>
    <t>019-00034</t>
  </si>
  <si>
    <t>019-00035</t>
  </si>
  <si>
    <t>019-00036</t>
  </si>
  <si>
    <t>019-00037</t>
  </si>
  <si>
    <t>019-00038</t>
  </si>
  <si>
    <t>019-00039</t>
  </si>
  <si>
    <t>019-00040</t>
  </si>
  <si>
    <t>019-00041</t>
  </si>
  <si>
    <t>019-00042</t>
  </si>
  <si>
    <t>019-00043</t>
  </si>
  <si>
    <t>019-00044</t>
  </si>
  <si>
    <t>019-00045</t>
  </si>
  <si>
    <t>019-00046</t>
  </si>
  <si>
    <t>019-00047</t>
  </si>
  <si>
    <t>019-00048</t>
  </si>
  <si>
    <t>019-00049</t>
  </si>
  <si>
    <t>019-00050</t>
  </si>
  <si>
    <t>019-00051</t>
  </si>
  <si>
    <t>019-00052</t>
  </si>
  <si>
    <t>019-00053</t>
  </si>
  <si>
    <t>019-00054</t>
  </si>
  <si>
    <t>019-00055</t>
  </si>
  <si>
    <t>&lt;%tp.file.title%&gt;</t>
  </si>
  <si>
    <t>019-00056</t>
  </si>
  <si>
    <t>12m 18s</t>
  </si>
  <si>
    <t>020-00001</t>
  </si>
  <si>
    <t>135m 43s</t>
  </si>
  <si>
    <t>020-00002</t>
  </si>
  <si>
    <t>13m 34s</t>
  </si>
  <si>
    <t>020-00003</t>
  </si>
  <si>
    <t>14m 12s</t>
  </si>
  <si>
    <t>020-00004</t>
  </si>
  <si>
    <t>14m 8s</t>
  </si>
  <si>
    <t>020-00005</t>
  </si>
  <si>
    <t>17m 13s</t>
  </si>
  <si>
    <t>020-00006</t>
  </si>
  <si>
    <t>18m 36s</t>
  </si>
  <si>
    <t>020-00007</t>
  </si>
  <si>
    <t>19m 30s</t>
  </si>
  <si>
    <t>020-00008</t>
  </si>
  <si>
    <t>20m 31s</t>
  </si>
  <si>
    <t>020-00009</t>
  </si>
  <si>
    <t>232m 15s</t>
  </si>
  <si>
    <t>020-00010</t>
  </si>
  <si>
    <t>32m 13s</t>
  </si>
  <si>
    <t>020-00011</t>
  </si>
  <si>
    <t>3m 17s</t>
  </si>
  <si>
    <t>020-00012</t>
  </si>
  <si>
    <t>4h 8m 5s</t>
  </si>
  <si>
    <t>020-00013</t>
  </si>
  <si>
    <t>5m 25s</t>
  </si>
  <si>
    <t>020-00014</t>
  </si>
  <si>
    <t>5min read</t>
  </si>
  <si>
    <t>020-00015</t>
  </si>
  <si>
    <t>6m 32s</t>
  </si>
  <si>
    <t>020-00016</t>
  </si>
  <si>
    <t>8m 16s</t>
  </si>
  <si>
    <t>020-00017</t>
  </si>
  <si>
    <t>8m 24s</t>
  </si>
  <si>
    <t>020-00018</t>
  </si>
  <si>
    <t>9m 53s</t>
  </si>
  <si>
    <t>020-00019</t>
  </si>
  <si>
    <t>[[2027-12-29]]</t>
  </si>
  <si>
    <t>021-00001</t>
  </si>
  <si>
    <t>peeps</t>
  </si>
  <si>
    <t>022-00001</t>
  </si>
  <si>
    <t>person</t>
  </si>
  <si>
    <t>022-00002</t>
  </si>
  <si>
    <t>023-00001</t>
  </si>
  <si>
    <t>023-00002</t>
  </si>
  <si>
    <t>023-00003</t>
  </si>
  <si>
    <t>023-00004</t>
  </si>
  <si>
    <t>023-00005</t>
  </si>
  <si>
    <t>clipboard-list</t>
  </si>
  <si>
    <t>024-00001</t>
  </si>
  <si>
    <t>1dDNoBNC4RE</t>
  </si>
  <si>
    <t>025-00001</t>
  </si>
  <si>
    <t>5CcfD2quIAg</t>
  </si>
  <si>
    <t>025-00002</t>
  </si>
  <si>
    <t>KD0ChM3-8ZU</t>
  </si>
  <si>
    <t>025-00003</t>
  </si>
  <si>
    <t>OQbOcj7xkMA</t>
  </si>
  <si>
    <t>025-00004</t>
  </si>
  <si>
    <t>dQLfHnyY1ng</t>
  </si>
  <si>
    <t>025-00005</t>
  </si>
  <si>
    <t>l8_ZngodVVA</t>
  </si>
  <si>
    <t>025-00006</t>
  </si>
  <si>
    <t>qlKR_cEIORY</t>
  </si>
  <si>
    <t>025-00007</t>
  </si>
  <si>
    <t>https://lonerwolf.com/wp-content/uploads/2014/07/self-destructive-person-are-you.jpg</t>
  </si>
  <si>
    <t>026-00001</t>
  </si>
  <si>
    <t>https://wp.technologyreview.com/wp-content/uploads/2022/12/JF23_MIT_AP22252604654772.jpeg</t>
  </si>
  <si>
    <t>026-00002</t>
  </si>
  <si>
    <t>https://mllj2j8xvfl0.i.optimole.com/cb:pJlS~36fbd/w:auto/h:auto/q:90/f:avif/https://themeisle.com/blog/wp-content/uploads/2019/01/cheap-web-hosting.jpg</t>
  </si>
  <si>
    <t>026-00003</t>
  </si>
  <si>
    <t>026-00004</t>
  </si>
  <si>
    <t>how-to-poach-chicken-breast-3-400x300.jpg</t>
  </si>
  <si>
    <t>026-00005</t>
  </si>
  <si>
    <t>https://www.pinerest.org/newsroom/wp-content/uploads/2021/12/Halt-2.jpg</t>
  </si>
  <si>
    <t>026-00006</t>
  </si>
  <si>
    <t>https://static01.nyt.com/images/2020/04/15/dining/15Kenji-Cover-Illustration/15Kenji-Cover-Illustration-facebookJumbo.jpg</t>
  </si>
  <si>
    <t>026-00007</t>
  </si>
  <si>
    <t>media%2Fimages%2FWatercolorArtistMagazine.png</t>
  </si>
  <si>
    <t>026-00008</t>
  </si>
  <si>
    <t>https://wordpress.www.soldnest.com/wp-content/uploads/2020/05/Questions-to-ask-realtor.jpeg</t>
  </si>
  <si>
    <t>026-00009</t>
  </si>
  <si>
    <t>https://repository-images.githubusercontent.com/155636246/2da2db00-6ebe-11e9-8c46-17ef077c5639</t>
  </si>
  <si>
    <t>026-00010</t>
  </si>
  <si>
    <t>https://www.howtogeek.com/wp-content/uploads/2023/03/amazon-dish.jpg</t>
  </si>
  <si>
    <t>026-00011</t>
  </si>
  <si>
    <t>https://www.washingtonpost.com/resizer/2CjPNwqvXHPS_2RpuRTKY-p3eVo=/1484x0/www.washingtonpost.com/pb/resources/img/twp-social-share.png</t>
  </si>
  <si>
    <t>026-00012</t>
  </si>
  <si>
    <t>https://pocket-image-cache.com/1200x/filters:format(jpg):extract_focal()/https%3A%2F%2Fpocket-syndicated-images.s3.amazonaws.com%2Farticles%2F11881%2F1733610614_GettyImages-81773024.jpg</t>
  </si>
  <si>
    <t>026-00013</t>
  </si>
  <si>
    <t>https://miro.medium.com/v2/resize:fit:600/0*4L42dhzN7yF6OPFx.png</t>
  </si>
  <si>
    <t>026-00014</t>
  </si>
  <si>
    <t>https://miro.medium.com/v2/resize:fit:1200/0*PAwEp7hZBZXzDCnm</t>
  </si>
  <si>
    <t>026-00015</t>
  </si>
  <si>
    <t>https://miro.medium.com/v2/resize:fit:600/0*7CIzErnobtpvKWTG.png</t>
  </si>
  <si>
    <t>026-00016</t>
  </si>
  <si>
    <t>https://miro.medium.com/v2/resize:fit:700/0*j-yfaTtridjMpRfI.jpg</t>
  </si>
  <si>
    <t>026-00017</t>
  </si>
  <si>
    <t>https://miro.medium.com/v2/resize:fit:1080/0*vFFr4Zqck0JidU3e.jpg</t>
  </si>
  <si>
    <t>026-00018</t>
  </si>
  <si>
    <t>https://static1.srcdn.com/wordpress/wp-content/uploads/2022/01/Always-on-display-iPhone-13-iOS.jpg</t>
  </si>
  <si>
    <t>026-00019</t>
  </si>
  <si>
    <t>https://cms-assets.tutsplus.com/uploads/users/769/posts/26452/preview_image/top_view_of_disabled_man_on_wheelchair_coding_with_2021_08_31_14_46_17_utc.jpg</t>
  </si>
  <si>
    <t>026-00020</t>
  </si>
  <si>
    <t>https://pocket-image-cache.com/1200x/filters:format(jpg):extract_focal()/https%3A%2F%2Fpocket-syndicated-images.s3.amazonaws.com%2Farticles%2F11458%2F1728437752_gut-brain-connection-1600x600.jpg</t>
  </si>
  <si>
    <t>026-00021</t>
  </si>
  <si>
    <t>https://cdn.vox-cdn.com/thumbor/R5_HRbYUNDl2DLVi3d94iO8fJfI=/0x0:2050x1367/1200x628/filters:focal(1025x684:1026x685)/cdn.vox-cdn.com/uploads/chorus_asset/file/23619948/VRG_ILLO_5281_ThreadGroup_Matter.jpg</t>
  </si>
  <si>
    <t>026-00022</t>
  </si>
  <si>
    <t>https://miro.medium.com/max/1200/0*PEy7iQmXrder5JP6.jpeg</t>
  </si>
  <si>
    <t>026-00023</t>
  </si>
  <si>
    <t>basic</t>
  </si>
  <si>
    <t>027-00001</t>
  </si>
  <si>
    <t>board</t>
  </si>
  <si>
    <t>027-00002</t>
  </si>
  <si>
    <t>obsdian</t>
  </si>
  <si>
    <t>028-00001</t>
  </si>
  <si>
    <t>obsidian.md</t>
  </si>
  <si>
    <t>028-00002</t>
  </si>
  <si>
    <t>obsidian note taking</t>
  </si>
  <si>
    <t>028-00003</t>
  </si>
  <si>
    <t>obsidian app</t>
  </si>
  <si>
    <t>028-00004</t>
  </si>
  <si>
    <t>obsidian notes</t>
  </si>
  <si>
    <t>028-00005</t>
  </si>
  <si>
    <t>obsidian note</t>
  </si>
  <si>
    <t>028-00006</t>
  </si>
  <si>
    <t>obsidian review</t>
  </si>
  <si>
    <t>028-00007</t>
  </si>
  <si>
    <t>obsidian tutorial</t>
  </si>
  <si>
    <t>028-00008</t>
  </si>
  <si>
    <t>obsidian workflow</t>
  </si>
  <si>
    <t>028-00009</t>
  </si>
  <si>
    <t>obsidian tips</t>
  </si>
  <si>
    <t>028-00010</t>
  </si>
  <si>
    <t>obsidian templates</t>
  </si>
  <si>
    <t>028-00011</t>
  </si>
  <si>
    <t>obsidian zettlekasten</t>
  </si>
  <si>
    <t>028-00012</t>
  </si>
  <si>
    <t>how to use obsidian</t>
  </si>
  <si>
    <t>028-00013</t>
  </si>
  <si>
    <t>note taking app</t>
  </si>
  <si>
    <t>028-00014</t>
  </si>
  <si>
    <t>note taking</t>
  </si>
  <si>
    <t>028-00015</t>
  </si>
  <si>
    <t>https://obsidian.md/index.html</t>
  </si>
  <si>
    <t>028-00016</t>
  </si>
  <si>
    <t>obsidian vs notion</t>
  </si>
  <si>
    <t>028-00017</t>
  </si>
  <si>
    <t>best note taking app 2021</t>
  </si>
  <si>
    <t>028-00018</t>
  </si>
  <si>
    <t>linux</t>
  </si>
  <si>
    <t>028-00019</t>
  </si>
  <si>
    <t>debian</t>
  </si>
  <si>
    <t>028-00020</t>
  </si>
  <si>
    <t>ubuntu</t>
  </si>
  <si>
    <t>028-00021</t>
  </si>
  <si>
    <t>unix</t>
  </si>
  <si>
    <t>028-00022</t>
  </si>
  <si>
    <t>shell</t>
  </si>
  <si>
    <t>028-00023</t>
  </si>
  <si>
    <t>wsl</t>
  </si>
  <si>
    <t>028-00024</t>
  </si>
  <si>
    <t>seedling</t>
  </si>
  <si>
    <t>028-00025</t>
  </si>
  <si>
    <t>Mavrick</t>
  </si>
  <si>
    <t>028-00026</t>
  </si>
  <si>
    <t>028-00027</t>
  </si>
  <si>
    <t>Ultimate Starter Vault</t>
  </si>
  <si>
    <t>028-00028</t>
  </si>
  <si>
    <t>vim  cgn  install  search  replace  substitute</t>
  </si>
  <si>
    <t>028-00029</t>
  </si>
  <si>
    <t>CasaOS</t>
  </si>
  <si>
    <t>028-00030</t>
  </si>
  <si>
    <t>Nginx</t>
  </si>
  <si>
    <t>028-00031</t>
  </si>
  <si>
    <t>Proxy</t>
  </si>
  <si>
    <t>028-00032</t>
  </si>
  <si>
    <t>Docker</t>
  </si>
  <si>
    <t>028-00033</t>
  </si>
  <si>
    <t>Wireguard</t>
  </si>
  <si>
    <t>028-00034</t>
  </si>
  <si>
    <t>Amex</t>
  </si>
  <si>
    <t>028-00035</t>
  </si>
  <si>
    <t>American Express</t>
  </si>
  <si>
    <t>028-00036</t>
  </si>
  <si>
    <t>Benefits</t>
  </si>
  <si>
    <t>028-00037</t>
  </si>
  <si>
    <t>Platinum</t>
  </si>
  <si>
    <t>028-00038</t>
  </si>
  <si>
    <t>ad-free</t>
  </si>
  <si>
    <t>028-00039</t>
  </si>
  <si>
    <t>streaming channels</t>
  </si>
  <si>
    <t>028-00040</t>
  </si>
  <si>
    <t>channels</t>
  </si>
  <si>
    <t>028-00041</t>
  </si>
  <si>
    <t>TV</t>
  </si>
  <si>
    <t>028-00042</t>
  </si>
  <si>
    <t>safety</t>
  </si>
  <si>
    <t>028-00043</t>
  </si>
  <si>
    <t>expiration</t>
  </si>
  <si>
    <t>028-00044</t>
  </si>
  <si>
    <t>expired</t>
  </si>
  <si>
    <t>028-00045</t>
  </si>
  <si>
    <t>food</t>
  </si>
  <si>
    <t>028-00046</t>
  </si>
  <si>
    <t>cans</t>
  </si>
  <si>
    <t>028-00047</t>
  </si>
  <si>
    <t>eggs</t>
  </si>
  <si>
    <t>028-00048</t>
  </si>
  <si>
    <t>oils</t>
  </si>
  <si>
    <t>028-00049</t>
  </si>
  <si>
    <t>ports hardware zimaboard casaos</t>
  </si>
  <si>
    <t>028-00050</t>
  </si>
  <si>
    <t>028-00051</t>
  </si>
  <si>
    <t>028-00052</t>
  </si>
  <si>
    <t>export</t>
  </si>
  <si>
    <t>028-00053</t>
  </si>
  <si>
    <t>save</t>
  </si>
  <si>
    <t>028-00054</t>
  </si>
  <si>
    <t>table</t>
  </si>
  <si>
    <t>028-00055</t>
  </si>
  <si>
    <t>excel</t>
  </si>
  <si>
    <t>028-00056</t>
  </si>
  <si>
    <t>csv</t>
  </si>
  <si>
    <t>028-00057</t>
  </si>
  <si>
    <t>Sound</t>
  </si>
  <si>
    <t>028-00058</t>
  </si>
  <si>
    <t>Movies</t>
  </si>
  <si>
    <t>028-00059</t>
  </si>
  <si>
    <t>Plex</t>
  </si>
  <si>
    <t>028-00060</t>
  </si>
  <si>
    <t>realtor</t>
  </si>
  <si>
    <t>028-00061</t>
  </si>
  <si>
    <t>questions</t>
  </si>
  <si>
    <t>028-00062</t>
  </si>
  <si>
    <t>soldnest</t>
  </si>
  <si>
    <t>028-00063</t>
  </si>
  <si>
    <t>selling</t>
  </si>
  <si>
    <t>028-00064</t>
  </si>
  <si>
    <t>Audio</t>
  </si>
  <si>
    <t>028-00065</t>
  </si>
  <si>
    <t>Communications</t>
  </si>
  <si>
    <t>028-00066</t>
  </si>
  <si>
    <t>Component</t>
  </si>
  <si>
    <t>028-00067</t>
  </si>
  <si>
    <t>Disc</t>
  </si>
  <si>
    <t>028-00068</t>
  </si>
  <si>
    <t>Disk</t>
  </si>
  <si>
    <t>028-00069</t>
  </si>
  <si>
    <t>DisplayPort</t>
  </si>
  <si>
    <t>028-00070</t>
  </si>
  <si>
    <t>DVI</t>
  </si>
  <si>
    <t>028-00071</t>
  </si>
  <si>
    <t>Electronics</t>
  </si>
  <si>
    <t>028-00072</t>
  </si>
  <si>
    <t>eSATA</t>
  </si>
  <si>
    <t>028-00073</t>
  </si>
  <si>
    <t>FireWire</t>
  </si>
  <si>
    <t>028-00074</t>
  </si>
  <si>
    <t>Hardware</t>
  </si>
  <si>
    <t>028-00075</t>
  </si>
  <si>
    <t>HDMI</t>
  </si>
  <si>
    <t>028-00076</t>
  </si>
  <si>
    <t>Keyboard</t>
  </si>
  <si>
    <t>028-00077</t>
  </si>
  <si>
    <t>Midi</t>
  </si>
  <si>
    <t>028-00078</t>
  </si>
  <si>
    <t>Mouse</t>
  </si>
  <si>
    <t>028-00079</t>
  </si>
  <si>
    <t>Network</t>
  </si>
  <si>
    <t>028-00080</t>
  </si>
  <si>
    <t>Power</t>
  </si>
  <si>
    <t>028-00081</t>
  </si>
  <si>
    <t>RCA</t>
  </si>
  <si>
    <t>028-00082</t>
  </si>
  <si>
    <t>Storage</t>
  </si>
  <si>
    <t>028-00083</t>
  </si>
  <si>
    <t>S-Video</t>
  </si>
  <si>
    <t>028-00084</t>
  </si>
  <si>
    <t>USB</t>
  </si>
  <si>
    <t>028-00085</t>
  </si>
  <si>
    <t>VGA</t>
  </si>
  <si>
    <t>028-00086</t>
  </si>
  <si>
    <t>Video</t>
  </si>
  <si>
    <t>028-00087</t>
  </si>
  <si>
    <t>meditation</t>
  </si>
  <si>
    <t>028-00088</t>
  </si>
  <si>
    <t>breathing</t>
  </si>
  <si>
    <t>028-00089</t>
  </si>
  <si>
    <t>relaxation</t>
  </si>
  <si>
    <t>028-00090</t>
  </si>
  <si>
    <t>art hacks</t>
  </si>
  <si>
    <t>028-00091</t>
  </si>
  <si>
    <t>art studio</t>
  </si>
  <si>
    <t>028-00092</t>
  </si>
  <si>
    <t>art studio ideas</t>
  </si>
  <si>
    <t>028-00093</t>
  </si>
  <si>
    <t>art studio makeover</t>
  </si>
  <si>
    <t>028-00094</t>
  </si>
  <si>
    <t>art studio setup</t>
  </si>
  <si>
    <t>028-00095</t>
  </si>
  <si>
    <t>art studio tour</t>
  </si>
  <si>
    <t>028-00096</t>
  </si>
  <si>
    <t>art tips</t>
  </si>
  <si>
    <t>028-00097</t>
  </si>
  <si>
    <t>art vlog</t>
  </si>
  <si>
    <t>028-00098</t>
  </si>
  <si>
    <t>ikea hacks</t>
  </si>
  <si>
    <t>028-00099</t>
  </si>
  <si>
    <t>life hacks</t>
  </si>
  <si>
    <t>028-00100</t>
  </si>
  <si>
    <t>watercolor workspace</t>
  </si>
  <si>
    <t>028-00101</t>
  </si>
  <si>
    <t>3.87 Hours of FREE Windows Utilities EVERY User MUST Know About!</t>
  </si>
  <si>
    <t>028-00102</t>
  </si>
  <si>
    <t>free windows software</t>
  </si>
  <si>
    <t>028-00103</t>
  </si>
  <si>
    <t>best free windows software</t>
  </si>
  <si>
    <t>028-00104</t>
  </si>
  <si>
    <t>best free windows utilities</t>
  </si>
  <si>
    <t>028-00105</t>
  </si>
  <si>
    <t>windows 10</t>
  </si>
  <si>
    <t>028-00106</t>
  </si>
  <si>
    <t>windows 11</t>
  </si>
  <si>
    <t>028-00107</t>
  </si>
  <si>
    <t>how to optimize windows 11</t>
  </si>
  <si>
    <t>028-00108</t>
  </si>
  <si>
    <t>how to optimize windows 10</t>
  </si>
  <si>
    <t>028-00109</t>
  </si>
  <si>
    <t>debloat windows 11</t>
  </si>
  <si>
    <t>028-00110</t>
  </si>
  <si>
    <t>debloat windows 10</t>
  </si>
  <si>
    <t>028-00111</t>
  </si>
  <si>
    <t>customize windows 10</t>
  </si>
  <si>
    <t>028-00112</t>
  </si>
  <si>
    <t>customize windows 11</t>
  </si>
  <si>
    <t>028-00113</t>
  </si>
  <si>
    <t>custom mouse cursor for windows</t>
  </si>
  <si>
    <t>028-00114</t>
  </si>
  <si>
    <t>make sound louder on windows 11</t>
  </si>
  <si>
    <t>028-00115</t>
  </si>
  <si>
    <t>make audio louder on windows 10</t>
  </si>
  <si>
    <t>028-00116</t>
  </si>
  <si>
    <t>top windows apps</t>
  </si>
  <si>
    <t>028-00117</t>
  </si>
  <si>
    <t>windows utility</t>
  </si>
  <si>
    <t>028-00118</t>
  </si>
  <si>
    <t>mirror android screen on pc</t>
  </si>
  <si>
    <t>028-00119</t>
  </si>
  <si>
    <t>scrumdiddlyumptious</t>
  </si>
  <si>
    <t>028-00120</t>
  </si>
  <si>
    <t>scrumdiddlyumptious recipes</t>
  </si>
  <si>
    <t>028-00121</t>
  </si>
  <si>
    <t>recipe</t>
  </si>
  <si>
    <t>028-00122</t>
  </si>
  <si>
    <t>cooking</t>
  </si>
  <si>
    <t>028-00123</t>
  </si>
  <si>
    <t>baking</t>
  </si>
  <si>
    <t>028-00124</t>
  </si>
  <si>
    <t>meal</t>
  </si>
  <si>
    <t>028-00125</t>
  </si>
  <si>
    <t>meal prep</t>
  </si>
  <si>
    <t>028-00126</t>
  </si>
  <si>
    <t>meal plan</t>
  </si>
  <si>
    <t>028-00127</t>
  </si>
  <si>
    <t>easy recipe</t>
  </si>
  <si>
    <t>028-00128</t>
  </si>
  <si>
    <t>food recipe</t>
  </si>
  <si>
    <t>028-00129</t>
  </si>
  <si>
    <t>trending</t>
  </si>
  <si>
    <t>028-00130</t>
  </si>
  <si>
    <t>healthy food</t>
  </si>
  <si>
    <t>028-00131</t>
  </si>
  <si>
    <t>healthy recipes</t>
  </si>
  <si>
    <t>028-00132</t>
  </si>
  <si>
    <t>breakfast</t>
  </si>
  <si>
    <t>028-00133</t>
  </si>
  <si>
    <t>breakfast ideas</t>
  </si>
  <si>
    <t>028-00134</t>
  </si>
  <si>
    <t>lunch</t>
  </si>
  <si>
    <t>028-00135</t>
  </si>
  <si>
    <t>lunch ideas</t>
  </si>
  <si>
    <t>028-00136</t>
  </si>
  <si>
    <t>dinner ideas</t>
  </si>
  <si>
    <t>028-00137</t>
  </si>
  <si>
    <t>dinner recipes</t>
  </si>
  <si>
    <t>028-00138</t>
  </si>
  <si>
    <t>dessert</t>
  </si>
  <si>
    <t>028-00139</t>
  </si>
  <si>
    <t>dessert recipes</t>
  </si>
  <si>
    <t>028-00140</t>
  </si>
  <si>
    <t>snack</t>
  </si>
  <si>
    <t>028-00141</t>
  </si>
  <si>
    <t>youtube</t>
  </si>
  <si>
    <t>028-00142</t>
  </si>
  <si>
    <t>facebook</t>
  </si>
  <si>
    <t>028-00143</t>
  </si>
  <si>
    <t>tiktok</t>
  </si>
  <si>
    <t>028-00144</t>
  </si>
  <si>
    <t>instagram</t>
  </si>
  <si>
    <t>028-00145</t>
  </si>
  <si>
    <t>cookbook</t>
  </si>
  <si>
    <t>028-00146</t>
  </si>
  <si>
    <t>recipes for dinner</t>
  </si>
  <si>
    <t>028-00147</t>
  </si>
  <si>
    <t>holiday snacks</t>
  </si>
  <si>
    <t>028-00148</t>
  </si>
  <si>
    <t>holiday snack</t>
  </si>
  <si>
    <t>028-00149</t>
  </si>
  <si>
    <t>holiday recipes</t>
  </si>
  <si>
    <t>028-00150</t>
  </si>
  <si>
    <t>recipes for the holidays</t>
  </si>
  <si>
    <t>028-00151</t>
  </si>
  <si>
    <t>delicious snacks</t>
  </si>
  <si>
    <t>028-00152</t>
  </si>
  <si>
    <t>simple snacks</t>
  </si>
  <si>
    <t>028-00153</t>
  </si>
  <si>
    <t>snacks recipes</t>
  </si>
  <si>
    <t>028-00154</t>
  </si>
  <si>
    <t>appetizer</t>
  </si>
  <si>
    <t>028-00155</t>
  </si>
  <si>
    <t>appetizers</t>
  </si>
  <si>
    <t>028-00156</t>
  </si>
  <si>
    <t>tasty</t>
  </si>
  <si>
    <t>028-00157</t>
  </si>
  <si>
    <t>webspoon world</t>
  </si>
  <si>
    <t>028-00158</t>
  </si>
  <si>
    <t>delicious</t>
  </si>
  <si>
    <t>028-00159</t>
  </si>
  <si>
    <t>fish snacks</t>
  </si>
  <si>
    <t>028-00160</t>
  </si>
  <si>
    <t>herring fillet</t>
  </si>
  <si>
    <t>028-00161</t>
  </si>
  <si>
    <t>potato</t>
  </si>
  <si>
    <t>028-00162</t>
  </si>
  <si>
    <t>cheese baskets</t>
  </si>
  <si>
    <t>028-00163</t>
  </si>
  <si>
    <t>cheese cups</t>
  </si>
  <si>
    <t>028-00164</t>
  </si>
  <si>
    <t>buffet snacks</t>
  </si>
  <si>
    <t>028-00165</t>
  </si>
  <si>
    <t>holiday food</t>
  </si>
  <si>
    <t>028-00166</t>
  </si>
  <si>
    <t>recipes</t>
  </si>
  <si>
    <t>028-00167</t>
  </si>
  <si>
    <t>webspoon World</t>
  </si>
  <si>
    <t>028-00168</t>
  </si>
  <si>
    <t>webspoonWorld</t>
  </si>
  <si>
    <t>028-00169</t>
  </si>
  <si>
    <t>delisious</t>
  </si>
  <si>
    <t>028-00170</t>
  </si>
  <si>
    <t>cooking show</t>
  </si>
  <si>
    <t>028-00171</t>
  </si>
  <si>
    <t>easy recipes</t>
  </si>
  <si>
    <t>028-00172</t>
  </si>
  <si>
    <t>new recipes</t>
  </si>
  <si>
    <t>028-00173</t>
  </si>
  <si>
    <t>quick recipes</t>
  </si>
  <si>
    <t>028-00174</t>
  </si>
  <si>
    <t>webspoon world recipes</t>
  </si>
  <si>
    <t>028-00175</t>
  </si>
  <si>
    <t>dinner</t>
  </si>
  <si>
    <t>028-00176</t>
  </si>
  <si>
    <t>beef pasta</t>
  </si>
  <si>
    <t>028-00177</t>
  </si>
  <si>
    <t>how to cook pasta</t>
  </si>
  <si>
    <t>028-00178</t>
  </si>
  <si>
    <t>mac and cheese</t>
  </si>
  <si>
    <t>028-00179</t>
  </si>
  <si>
    <t>mac and cheese recipes</t>
  </si>
  <si>
    <t>028-00180</t>
  </si>
  <si>
    <t>pasta</t>
  </si>
  <si>
    <t>028-00181</t>
  </si>
  <si>
    <t>pasta recipes</t>
  </si>
  <si>
    <t>028-00182</t>
  </si>
  <si>
    <t>pasta recipes easy</t>
  </si>
  <si>
    <t>028-00183</t>
  </si>
  <si>
    <t>pasta recipes at home</t>
  </si>
  <si>
    <t>028-00184</t>
  </si>
  <si>
    <t>lasagna</t>
  </si>
  <si>
    <t>028-00185</t>
  </si>
  <si>
    <t>beef sausages pasta bake</t>
  </si>
  <si>
    <t>028-00186</t>
  </si>
  <si>
    <t>macaroni</t>
  </si>
  <si>
    <t>028-00187</t>
  </si>
  <si>
    <t>macaroni recipes</t>
  </si>
  <si>
    <t>028-00188</t>
  </si>
  <si>
    <t>how to cook macaroni</t>
  </si>
  <si>
    <t>028-00189</t>
  </si>
  <si>
    <t>how to make mak and cheese</t>
  </si>
  <si>
    <t>028-00190</t>
  </si>
  <si>
    <t>beef pasta for dinner</t>
  </si>
  <si>
    <t>028-00191</t>
  </si>
  <si>
    <t>italian recipes</t>
  </si>
  <si>
    <t>028-00192</t>
  </si>
  <si>
    <t>easy dinner in oven</t>
  </si>
  <si>
    <t>028-00193</t>
  </si>
  <si>
    <t>beef</t>
  </si>
  <si>
    <t>028-00194</t>
  </si>
  <si>
    <t>adobe illustrator</t>
  </si>
  <si>
    <t>028-00195</t>
  </si>
  <si>
    <t>illustrator tutorial</t>
  </si>
  <si>
    <t>028-00196</t>
  </si>
  <si>
    <t>flat design</t>
  </si>
  <si>
    <t>028-00197</t>
  </si>
  <si>
    <t>blend tool illustrator</t>
  </si>
  <si>
    <t>028-00198</t>
  </si>
  <si>
    <t>blend tool illustrator tutorial</t>
  </si>
  <si>
    <t>028-00199</t>
  </si>
  <si>
    <t>shadows in illustrator</t>
  </si>
  <si>
    <t>028-00200</t>
  </si>
  <si>
    <t>design bundles</t>
  </si>
  <si>
    <t>028-00201</t>
  </si>
  <si>
    <t>adobe illustrator cc</t>
  </si>
  <si>
    <t>028-00202</t>
  </si>
  <si>
    <t>adobe illustrator tutorial</t>
  </si>
  <si>
    <t>028-00203</t>
  </si>
  <si>
    <t>illustrator</t>
  </si>
  <si>
    <t>028-00204</t>
  </si>
  <si>
    <t>making shadows in illustrator</t>
  </si>
  <si>
    <t>028-00205</t>
  </si>
  <si>
    <t>adobe illustrator for beginners</t>
  </si>
  <si>
    <t>028-00206</t>
  </si>
  <si>
    <t>blend tool tutorial illustrator</t>
  </si>
  <si>
    <t>028-00207</t>
  </si>
  <si>
    <t>how to use the blend tool in illustrator</t>
  </si>
  <si>
    <t>028-00208</t>
  </si>
  <si>
    <t>blend tool text illustrator</t>
  </si>
  <si>
    <t>028-00209</t>
  </si>
  <si>
    <t>adobe lightroom</t>
  </si>
  <si>
    <t>028-00210</t>
  </si>
  <si>
    <t>lightroom tutorial</t>
  </si>
  <si>
    <t>028-00211</t>
  </si>
  <si>
    <t>how to use lightroom</t>
  </si>
  <si>
    <t>028-00212</t>
  </si>
  <si>
    <t>adobe lightroom tutorial</t>
  </si>
  <si>
    <t>028-00213</t>
  </si>
  <si>
    <t>lightroom for beginners</t>
  </si>
  <si>
    <t>028-00214</t>
  </si>
  <si>
    <t>how to edit in lightroom</t>
  </si>
  <si>
    <t>028-00215</t>
  </si>
  <si>
    <t>lightroom tutorials for beginners</t>
  </si>
  <si>
    <t>028-00216</t>
  </si>
  <si>
    <t>lightroom for beginners 2022</t>
  </si>
  <si>
    <t>028-00217</t>
  </si>
  <si>
    <t>lightroom tutorial for beginners 2022</t>
  </si>
  <si>
    <t>028-00218</t>
  </si>
  <si>
    <t>how to edit in lightroom 2022</t>
  </si>
  <si>
    <t>028-00219</t>
  </si>
  <si>
    <t>free lightroom course</t>
  </si>
  <si>
    <t>028-00220</t>
  </si>
  <si>
    <t>free lightroom course 2022</t>
  </si>
  <si>
    <t>028-00221</t>
  </si>
  <si>
    <t>free adobe lightroom course</t>
  </si>
  <si>
    <t>028-00222</t>
  </si>
  <si>
    <t>free adobe lightroom course 2022</t>
  </si>
  <si>
    <t>028-00223</t>
  </si>
  <si>
    <t>adobe lightroom tips and tricks 2022</t>
  </si>
  <si>
    <t>028-00224</t>
  </si>
  <si>
    <t>lightroom editing tutorial 2022</t>
  </si>
  <si>
    <t>028-00225</t>
  </si>
  <si>
    <t>lightroom tips and tricks</t>
  </si>
  <si>
    <t>028-00226</t>
  </si>
  <si>
    <t>blend tool adobe illustrator</t>
  </si>
  <si>
    <t>028-00227</t>
  </si>
  <si>
    <t>abstract background</t>
  </si>
  <si>
    <t>028-00228</t>
  </si>
  <si>
    <t>vector tutorial</t>
  </si>
  <si>
    <t>028-00229</t>
  </si>
  <si>
    <t>hiding wires for wall mounted tv</t>
  </si>
  <si>
    <t>028-00230</t>
  </si>
  <si>
    <t>hiding wires behind wall</t>
  </si>
  <si>
    <t>028-00231</t>
  </si>
  <si>
    <t>hiding wires on desk</t>
  </si>
  <si>
    <t>028-00232</t>
  </si>
  <si>
    <t>hiding wires in wall for tv</t>
  </si>
  <si>
    <t>028-00233</t>
  </si>
  <si>
    <t>hiding wires on wall</t>
  </si>
  <si>
    <t>028-00234</t>
  </si>
  <si>
    <t>hiding wires for surround sound speakers</t>
  </si>
  <si>
    <t>028-00235</t>
  </si>
  <si>
    <t>hiding led strip lights</t>
  </si>
  <si>
    <t>028-00236</t>
  </si>
  <si>
    <t>hiding led strip power supply</t>
  </si>
  <si>
    <t>028-00237</t>
  </si>
  <si>
    <t>hiding led strip wires</t>
  </si>
  <si>
    <t>028-00238</t>
  </si>
  <si>
    <t>hiding led lights</t>
  </si>
  <si>
    <t>028-00239</t>
  </si>
  <si>
    <t>hiding led wires</t>
  </si>
  <si>
    <t>028-00240</t>
  </si>
  <si>
    <t>hiding led strips</t>
  </si>
  <si>
    <t>028-00241</t>
  </si>
  <si>
    <t>wire management</t>
  </si>
  <si>
    <t>028-00242</t>
  </si>
  <si>
    <t>wire management gaming</t>
  </si>
  <si>
    <t>028-00243</t>
  </si>
  <si>
    <t>wire management gaming setup</t>
  </si>
  <si>
    <t>028-00244</t>
  </si>
  <si>
    <t>feeding wires through wall</t>
  </si>
  <si>
    <t>028-00245</t>
  </si>
  <si>
    <t>feed wires behind drywall</t>
  </si>
  <si>
    <t>028-00246</t>
  </si>
  <si>
    <t>wires behind wall</t>
  </si>
  <si>
    <t>028-00247</t>
  </si>
  <si>
    <t>wires behind drywall</t>
  </si>
  <si>
    <t>028-00248</t>
  </si>
  <si>
    <t>windows 11 debloat</t>
  </si>
  <si>
    <t>028-00249</t>
  </si>
  <si>
    <t>windows 11 debloater</t>
  </si>
  <si>
    <t>028-00250</t>
  </si>
  <si>
    <t>windows 11 features</t>
  </si>
  <si>
    <t>028-00251</t>
  </si>
  <si>
    <t>how to debloat windows 11</t>
  </si>
  <si>
    <t>028-00252</t>
  </si>
  <si>
    <t>make windows 11 faster</t>
  </si>
  <si>
    <t>028-00253</t>
  </si>
  <si>
    <t>windows 11 tips</t>
  </si>
  <si>
    <t>028-00254</t>
  </si>
  <si>
    <t>windows 11 bloatware</t>
  </si>
  <si>
    <t>028-00255</t>
  </si>
  <si>
    <t>windows 11 optimization</t>
  </si>
  <si>
    <t>028-00256</t>
  </si>
  <si>
    <t>speed up windows 11</t>
  </si>
  <si>
    <t>028-00257</t>
  </si>
  <si>
    <t>debloat windows 11 with ease</t>
  </si>
  <si>
    <t>028-00258</t>
  </si>
  <si>
    <t>how to speed up windows 11</t>
  </si>
  <si>
    <t>028-00259</t>
  </si>
  <si>
    <t>debloating windows 11</t>
  </si>
  <si>
    <t>028-00260</t>
  </si>
  <si>
    <t>windows 11 debloat guide</t>
  </si>
  <si>
    <t>028-00261</t>
  </si>
  <si>
    <t>how to install windows 11</t>
  </si>
  <si>
    <t>028-00262</t>
  </si>
  <si>
    <t>remove bloatware windows 11</t>
  </si>
  <si>
    <t>028-00263</t>
  </si>
  <si>
    <t>windows 11 update</t>
  </si>
  <si>
    <t>028-00264</t>
  </si>
  <si>
    <t>windows 11 lite</t>
  </si>
  <si>
    <t>028-00265</t>
  </si>
  <si>
    <t>windows</t>
  </si>
  <si>
    <t>028-00266</t>
  </si>
  <si>
    <t>optimize windows 11</t>
  </si>
  <si>
    <t>028-00267</t>
  </si>
  <si>
    <t>tech review</t>
  </si>
  <si>
    <t>028-00268</t>
  </si>
  <si>
    <t>new tech</t>
  </si>
  <si>
    <t>028-00269</t>
  </si>
  <si>
    <t>technology</t>
  </si>
  <si>
    <t>028-00270</t>
  </si>
  <si>
    <t>run the joules</t>
  </si>
  <si>
    <t>028-00271</t>
  </si>
  <si>
    <t>diy desk build</t>
  </si>
  <si>
    <t>028-00272</t>
  </si>
  <si>
    <t>desk for photography</t>
  </si>
  <si>
    <t>028-00273</t>
  </si>
  <si>
    <t>desk for video editing</t>
  </si>
  <si>
    <t>028-00274</t>
  </si>
  <si>
    <t>desk for audio</t>
  </si>
  <si>
    <t>028-00275</t>
  </si>
  <si>
    <t>desk tour</t>
  </si>
  <si>
    <t>028-00276</t>
  </si>
  <si>
    <t>minimal desk setup</t>
  </si>
  <si>
    <t>028-00277</t>
  </si>
  <si>
    <t>minimalist desk setup</t>
  </si>
  <si>
    <t>028-00278</t>
  </si>
  <si>
    <t>chicken diane</t>
  </si>
  <si>
    <t>028-00279</t>
  </si>
  <si>
    <t>diane sauce</t>
  </si>
  <si>
    <t>028-00280</t>
  </si>
  <si>
    <t>steak diane</t>
  </si>
  <si>
    <t>028-00281</t>
  </si>
  <si>
    <t>video</t>
  </si>
  <si>
    <t>028-00282</t>
  </si>
  <si>
    <t>sharing</t>
  </si>
  <si>
    <t>028-00283</t>
  </si>
  <si>
    <t>camera phone</t>
  </si>
  <si>
    <t>028-00284</t>
  </si>
  <si>
    <t>video phone</t>
  </si>
  <si>
    <t>028-00285</t>
  </si>
  <si>
    <t>free</t>
  </si>
  <si>
    <t>028-00286</t>
  </si>
  <si>
    <t>upload</t>
  </si>
  <si>
    <t>028-00287</t>
  </si>
  <si>
    <t>streaming</t>
  </si>
  <si>
    <t>028-00288</t>
  </si>
  <si>
    <t>service</t>
  </si>
  <si>
    <t>028-00289</t>
  </si>
  <si>
    <t>apple tv</t>
  </si>
  <si>
    <t>028-00290</t>
  </si>
  <si>
    <t>plus</t>
  </si>
  <si>
    <t>028-00291</t>
  </si>
  <si>
    <t>disney</t>
  </si>
  <si>
    <t>028-00292</t>
  </si>
  <si>
    <t>netflix</t>
  </si>
  <si>
    <t>028-00293</t>
  </si>
  <si>
    <t>hulu</t>
  </si>
  <si>
    <t>028-00294</t>
  </si>
  <si>
    <t>amazon prime</t>
  </si>
  <si>
    <t>028-00295</t>
  </si>
  <si>
    <t>tv</t>
  </si>
  <si>
    <t>028-00296</t>
  </si>
  <si>
    <t>movies</t>
  </si>
  <si>
    <t>028-00297</t>
  </si>
  <si>
    <t>hollywood</t>
  </si>
  <si>
    <t>028-00298</t>
  </si>
  <si>
    <t>television</t>
  </si>
  <si>
    <t>028-00299</t>
  </si>
  <si>
    <t>jellyfin</t>
  </si>
  <si>
    <t>028-00300</t>
  </si>
  <si>
    <t>plex</t>
  </si>
  <si>
    <t>028-00301</t>
  </si>
  <si>
    <t>nas</t>
  </si>
  <si>
    <t>028-00302</t>
  </si>
  <si>
    <t>freenas</t>
  </si>
  <si>
    <t>028-00303</t>
  </si>
  <si>
    <t>truenas</t>
  </si>
  <si>
    <t>028-00304</t>
  </si>
  <si>
    <t>asustor</t>
  </si>
  <si>
    <t>028-00305</t>
  </si>
  <si>
    <t>qnap</t>
  </si>
  <si>
    <t>028-00306</t>
  </si>
  <si>
    <t>storage</t>
  </si>
  <si>
    <t>028-00307</t>
  </si>
  <si>
    <t>network</t>
  </si>
  <si>
    <t>028-00308</t>
  </si>
  <si>
    <t>attached</t>
  </si>
  <si>
    <t>028-00309</t>
  </si>
  <si>
    <t>deal</t>
  </si>
  <si>
    <t>028-00310</t>
  </si>
  <si>
    <t>ads</t>
  </si>
  <si>
    <t>028-00311</t>
  </si>
  <si>
    <t>revenue</t>
  </si>
  <si>
    <t>028-00312</t>
  </si>
  <si>
    <t>ux</t>
  </si>
  <si>
    <t>028-00313</t>
  </si>
  <si>
    <t>terrible</t>
  </si>
  <si>
    <t>028-00314</t>
  </si>
  <si>
    <t>mobile</t>
  </si>
  <si>
    <t>028-00315</t>
  </si>
  <si>
    <t>watch</t>
  </si>
  <si>
    <t>028-00316</t>
  </si>
  <si>
    <t>online</t>
  </si>
  <si>
    <t>028-00317</t>
  </si>
  <si>
    <t>anywhere</t>
  </si>
  <si>
    <t>028-00318</t>
  </si>
  <si>
    <t>media</t>
  </si>
  <si>
    <t>028-00319</t>
  </si>
  <si>
    <t>fight</t>
  </si>
  <si>
    <t>028-00320</t>
  </si>
  <si>
    <t>back</t>
  </si>
  <si>
    <t>028-00321</t>
  </si>
  <si>
    <t>backup</t>
  </si>
  <si>
    <t>028-00322</t>
  </si>
  <si>
    <t>synology</t>
  </si>
  <si>
    <t>028-00323</t>
  </si>
  <si>
    <t>netgear</t>
  </si>
  <si>
    <t>028-00324</t>
  </si>
  <si>
    <t>rip</t>
  </si>
  <si>
    <t>028-00325</t>
  </si>
  <si>
    <t>handbrake</t>
  </si>
  <si>
    <t>028-00326</t>
  </si>
  <si>
    <t>makemkv</t>
  </si>
  <si>
    <t>028-00327</t>
  </si>
  <si>
    <t>mkv</t>
  </si>
  <si>
    <t>028-00328</t>
  </si>
  <si>
    <t>matroska</t>
  </si>
  <si>
    <t>028-00329</t>
  </si>
  <si>
    <t>file</t>
  </si>
  <si>
    <t>028-00330</t>
  </si>
  <si>
    <t>piracy</t>
  </si>
  <si>
    <t>028-00331</t>
  </si>
  <si>
    <t>pirate</t>
  </si>
  <si>
    <t>028-00332</t>
  </si>
  <si>
    <t>radarr</t>
  </si>
  <si>
    <t>028-00333</t>
  </si>
  <si>
    <t>sonarr</t>
  </si>
  <si>
    <t>028-00334</t>
  </si>
  <si>
    <t>h.264</t>
  </si>
  <si>
    <t>028-00335</t>
  </si>
  <si>
    <t>h.265</t>
  </si>
  <si>
    <t>028-00336</t>
  </si>
  <si>
    <t>4k</t>
  </si>
  <si>
    <t>028-00337</t>
  </si>
  <si>
    <t>uhd</t>
  </si>
  <si>
    <t>028-00338</t>
  </si>
  <si>
    <t>ripping</t>
  </si>
  <si>
    <t>028-00339</t>
  </si>
  <si>
    <t>tutorial</t>
  </si>
  <si>
    <t>028-00340</t>
  </si>
  <si>
    <t>how-to</t>
  </si>
  <si>
    <t>028-00341</t>
  </si>
  <si>
    <t>process</t>
  </si>
  <si>
    <t>028-00342</t>
  </si>
  <si>
    <t>vlc</t>
  </si>
  <si>
    <t>028-00343</t>
  </si>
  <si>
    <t>red shirt jeff</t>
  </si>
  <si>
    <t>028-00344</t>
  </si>
  <si>
    <t>George Washington</t>
  </si>
  <si>
    <t>028-00345</t>
  </si>
  <si>
    <t>John Adams</t>
  </si>
  <si>
    <t>028-00346</t>
  </si>
  <si>
    <t>Thomas Jefferson</t>
  </si>
  <si>
    <t>028-00347</t>
  </si>
  <si>
    <t>James Madison</t>
  </si>
  <si>
    <t>028-00348</t>
  </si>
  <si>
    <t>Presidents</t>
  </si>
  <si>
    <t>028-00349</t>
  </si>
  <si>
    <t>Founding Fathers</t>
  </si>
  <si>
    <t>028-00350</t>
  </si>
  <si>
    <t>American Revolution</t>
  </si>
  <si>
    <t>028-00351</t>
  </si>
  <si>
    <t>Biography</t>
  </si>
  <si>
    <t>028-00352</t>
  </si>
  <si>
    <t>History</t>
  </si>
  <si>
    <t>028-00353</t>
  </si>
  <si>
    <t>Historical</t>
  </si>
  <si>
    <t>028-00354</t>
  </si>
  <si>
    <t>Educational</t>
  </si>
  <si>
    <t>028-00355</t>
  </si>
  <si>
    <t>028-00356</t>
  </si>
  <si>
    <t>biography channel</t>
  </si>
  <si>
    <t>028-00357</t>
  </si>
  <si>
    <t>biography a&amp;e</t>
  </si>
  <si>
    <t>028-00358</t>
  </si>
  <si>
    <t>biography</t>
  </si>
  <si>
    <t>028-00359</t>
  </si>
  <si>
    <t>bio</t>
  </si>
  <si>
    <t>028-00360</t>
  </si>
  <si>
    <t>history</t>
  </si>
  <si>
    <t>028-00361</t>
  </si>
  <si>
    <t>life story</t>
  </si>
  <si>
    <t>028-00362</t>
  </si>
  <si>
    <t>documentary</t>
  </si>
  <si>
    <t>028-00363</t>
  </si>
  <si>
    <t>documentaries</t>
  </si>
  <si>
    <t>028-00364</t>
  </si>
  <si>
    <t>fix UEFI boot windows 10</t>
  </si>
  <si>
    <t>028-00365</t>
  </si>
  <si>
    <t>fix UEFI boot windows 11</t>
  </si>
  <si>
    <t>028-00366</t>
  </si>
  <si>
    <t>fix windows gpt boot</t>
  </si>
  <si>
    <t>028-00367</t>
  </si>
  <si>
    <t>fix uefi boot</t>
  </si>
  <si>
    <t>028-00368</t>
  </si>
  <si>
    <t>corrupted uefi partition</t>
  </si>
  <si>
    <t>028-00369</t>
  </si>
  <si>
    <t>education</t>
  </si>
  <si>
    <t>028-00370</t>
  </si>
  <si>
    <t>thinking</t>
  </si>
  <si>
    <t>028-00371</t>
  </si>
  <si>
    <t>learning</t>
  </si>
  <si>
    <t>028-00372</t>
  </si>
  <si>
    <t>MCC</t>
  </si>
  <si>
    <t>028-00373</t>
  </si>
  <si>
    <t>Multi-Column</t>
  </si>
  <si>
    <t>028-00374</t>
  </si>
  <si>
    <t>CSS</t>
  </si>
  <si>
    <t>028-00375</t>
  </si>
  <si>
    <t>Layouts</t>
  </si>
  <si>
    <t>028-00376</t>
  </si>
  <si>
    <t>browser</t>
  </si>
  <si>
    <t>028-00377</t>
  </si>
  <si>
    <t>Sex on the Beach, Sex on the Beach Recipe</t>
  </si>
  <si>
    <t>028-00378</t>
  </si>
  <si>
    <t>029-00001</t>
  </si>
  <si>
    <t>[[Vault Features]]</t>
  </si>
  <si>
    <t>030-00001</t>
  </si>
  <si>
    <t>[[📚 Johns Building a Second Brain]]</t>
  </si>
  <si>
    <t>030-00002</t>
  </si>
  <si>
    <t>[[John's Second Brain Subvault]]</t>
  </si>
  <si>
    <t>030-00003</t>
  </si>
  <si>
    <t>[[Vault Overview]]</t>
  </si>
  <si>
    <t>030-00004</t>
  </si>
  <si>
    <t>[[📥 Konik Method for Making Useful Notes]]</t>
  </si>
  <si>
    <t>030-00005</t>
  </si>
  <si>
    <t>[[🗺️ Personal Knowledge Management MOC]]</t>
  </si>
  <si>
    <t>030-00006</t>
  </si>
  <si>
    <t>[[2024-12-23]]</t>
  </si>
  <si>
    <t>030-00007</t>
  </si>
  <si>
    <t>[[Setup Multi Row Tabs in Firefox]]</t>
  </si>
  <si>
    <t>030-00008</t>
  </si>
  <si>
    <t>[Mr Other Guy's Firefox CSS Hacks](https://github.com/MrOtherGuy/firefox-csshacks)</t>
  </si>
  <si>
    <t>030-00009</t>
  </si>
  <si>
    <t>[[PKM CODE Framework]]</t>
  </si>
  <si>
    <t>030-00010</t>
  </si>
  <si>
    <t>[[2022-12-25]]</t>
  </si>
  <si>
    <t>030-00011</t>
  </si>
  <si>
    <t>[[2024-12-24]]</t>
  </si>
  <si>
    <t>030-00012</t>
  </si>
  <si>
    <t>[[PKM Code Framework]]</t>
  </si>
  <si>
    <t>030-00013</t>
  </si>
  <si>
    <t>[[2024-12-20]]</t>
  </si>
  <si>
    <t>030-00014</t>
  </si>
  <si>
    <t>[[2024-12-25]]</t>
  </si>
  <si>
    <t>030-00015</t>
  </si>
  <si>
    <t>[[Obsidian Tips]]</t>
  </si>
  <si>
    <t>030-00016</t>
  </si>
  <si>
    <t>[[♻️ My Habits]]</t>
  </si>
  <si>
    <t>030-00017</t>
  </si>
  <si>
    <t>[[My PluginsDataview]]</t>
  </si>
  <si>
    <t>030-00018</t>
  </si>
  <si>
    <t>[[Dataview cheat sheet]]</t>
  </si>
  <si>
    <t>030-00019</t>
  </si>
  <si>
    <t>[[https://notes.andymatuschak.org/About_these_notes]]</t>
  </si>
  <si>
    <t>030-00020</t>
  </si>
  <si>
    <t>[[_start_here]]</t>
  </si>
  <si>
    <t>030-00021</t>
  </si>
  <si>
    <t>[Andy Matuschak's Notes](https://notes.andymatuschak.org/About_these_notes)</t>
  </si>
  <si>
    <t>030-00022</t>
  </si>
  <si>
    <t>[[🗺️ Note Taking MOC]]</t>
  </si>
  <si>
    <t>030-00023</t>
  </si>
  <si>
    <t>[[📌 CasaOS Kanban]]</t>
  </si>
  <si>
    <t>030-00024</t>
  </si>
  <si>
    <t>[[⚡ CasaOS Project]]</t>
  </si>
  <si>
    <t>030-00025</t>
  </si>
  <si>
    <t>[[Managing daily and periodic notes]]</t>
  </si>
  <si>
    <t>030-00026</t>
  </si>
  <si>
    <t>[[Setup the Zimaboard to boot off the USB Stick]]</t>
  </si>
  <si>
    <t>030-00027</t>
  </si>
  <si>
    <t>[[Fleeting Notes]]</t>
  </si>
  <si>
    <t>030-00028</t>
  </si>
  <si>
    <t>[[Capturing information]]</t>
  </si>
  <si>
    <t>030-00029</t>
  </si>
  <si>
    <t>[[Summarizing Content]]</t>
  </si>
  <si>
    <t>030-00030</t>
  </si>
  <si>
    <t>[[🏠My Home]]</t>
  </si>
  <si>
    <t>030-00031</t>
  </si>
  <si>
    <t>[[My Hotkeys]]</t>
  </si>
  <si>
    <t>030-00032</t>
  </si>
  <si>
    <t>[[Content Creation Ideation]]</t>
  </si>
  <si>
    <t>030-00033</t>
  </si>
  <si>
    <t>[[🦋 Unassigned]]</t>
  </si>
  <si>
    <t>030-00034</t>
  </si>
  <si>
    <t>[[⚡ Unassigned Project]]</t>
  </si>
  <si>
    <t>030-00035</t>
  </si>
  <si>
    <t>[[Applying information]]</t>
  </si>
  <si>
    <t>030-00036</t>
  </si>
  <si>
    <t>[[Obsidian Community Plugins]]</t>
  </si>
  <si>
    <t>030-00037</t>
  </si>
  <si>
    <t>[[2024-12-09]]</t>
  </si>
  <si>
    <t>030-00038</t>
  </si>
  <si>
    <t>[[🗺️ Project Management MOC]]</t>
  </si>
  <si>
    <t>030-00039</t>
  </si>
  <si>
    <t>[[🗺️ Personal Knowledge Management MOC|PKM MOC]]</t>
  </si>
  <si>
    <t>030-00040</t>
  </si>
  <si>
    <t>[[Secure Remote Access]]</t>
  </si>
  <si>
    <t>030-00041</t>
  </si>
  <si>
    <t>[Learn X in Y Minutes](https://learnxinyminutes.com/docs/python/)</t>
  </si>
  <si>
    <t>030-00042</t>
  </si>
  <si>
    <t>[[2023-01-24]]</t>
  </si>
  <si>
    <t>030-00043</t>
  </si>
  <si>
    <t>[[2024-12-21]]</t>
  </si>
  <si>
    <t>030-00044</t>
  </si>
  <si>
    <t>[[Setup bash and VIM]]</t>
  </si>
  <si>
    <t>030-00045</t>
  </si>
  <si>
    <t>[[Evergreen Notes]]</t>
  </si>
  <si>
    <t>030-00046</t>
  </si>
  <si>
    <t xml:space="preserve">[[⚓ Finances]] </t>
  </si>
  <si>
    <t>030-00047</t>
  </si>
  <si>
    <t>[[⚡ Finances Management Project]]</t>
  </si>
  <si>
    <t>030-00048</t>
  </si>
  <si>
    <t>[[Metadata]]</t>
  </si>
  <si>
    <t>030-00049</t>
  </si>
  <si>
    <t>[[🗺️ Obsidian MOC]]</t>
  </si>
  <si>
    <t>030-00050</t>
  </si>
  <si>
    <t>[[2023-01-17]]</t>
  </si>
  <si>
    <t>030-00051</t>
  </si>
  <si>
    <t>[[Template Debrief]]</t>
  </si>
  <si>
    <t>030-00052</t>
  </si>
  <si>
    <t>[[2024-12-13]]</t>
  </si>
  <si>
    <t>030-00053</t>
  </si>
  <si>
    <t>[[2024-12-10]]</t>
  </si>
  <si>
    <t>030-00054</t>
  </si>
  <si>
    <t>[[2024-12-07]]</t>
  </si>
  <si>
    <t>030-00055</t>
  </si>
  <si>
    <t>[[⚡ Add Notebook Areas and Resources Project]]</t>
  </si>
  <si>
    <t>030-00056</t>
  </si>
  <si>
    <t>[[Latest Network Mappings]]</t>
  </si>
  <si>
    <t>030-00057</t>
  </si>
  <si>
    <t>[[2024-12-12]]</t>
  </si>
  <si>
    <t>030-00058</t>
  </si>
  <si>
    <t>[[Managing projects]]</t>
  </si>
  <si>
    <t>030-00059</t>
  </si>
  <si>
    <t>[[My Plugins]]</t>
  </si>
  <si>
    <t>030-00060</t>
  </si>
  <si>
    <t>[[⚡ Office Desk Design]]</t>
  </si>
  <si>
    <t>030-00061</t>
  </si>
  <si>
    <t>[[MCL Multi Column]]</t>
  </si>
  <si>
    <t>030-00062</t>
  </si>
  <si>
    <t>[[2025-02-15]]</t>
  </si>
  <si>
    <t>030-00063</t>
  </si>
  <si>
    <t>[[⚡ Cheatsheets Library]]</t>
  </si>
  <si>
    <t>030-00064</t>
  </si>
  <si>
    <t>[Setup a VPN on your network](https://medium.com/@gurayy/set-up-a-vpn-server-with-docker-in-5-minutes-a66184882c45)</t>
  </si>
  <si>
    <t>030-00065</t>
  </si>
  <si>
    <t>[[2023-11-18]]</t>
  </si>
  <si>
    <t>030-00066</t>
  </si>
  <si>
    <t>[[⚡ Setup Linode Server Project]]</t>
  </si>
  <si>
    <t>030-00067</t>
  </si>
  <si>
    <t>[[📌 Rebuild PC Kanban]]</t>
  </si>
  <si>
    <t>030-00068</t>
  </si>
  <si>
    <t>[[⚡ Obsidian Starter Vault Creation]]</t>
  </si>
  <si>
    <t>030-00069</t>
  </si>
  <si>
    <t>[[🦋 Brain2]]</t>
  </si>
  <si>
    <t>030-00070</t>
  </si>
  <si>
    <t>[[2025-02-05]]</t>
  </si>
  <si>
    <t>030-00071</t>
  </si>
  <si>
    <t>[[Manage Users]]</t>
  </si>
  <si>
    <t>030-00072</t>
  </si>
  <si>
    <t>[[The Debian Series-users and groups management]]</t>
  </si>
  <si>
    <t>030-00073</t>
  </si>
  <si>
    <t>[[2024-11-06]]</t>
  </si>
  <si>
    <t>030-00074</t>
  </si>
  <si>
    <t>[[How to Re-Install a Vault]]</t>
  </si>
  <si>
    <t>030-00075</t>
  </si>
  <si>
    <t>[[2024-12-17]]</t>
  </si>
  <si>
    <t>030-00076</t>
  </si>
  <si>
    <t>[[🦋 Writing]]</t>
  </si>
  <si>
    <t>030-00077</t>
  </si>
  <si>
    <t>[[🦋 Art]]</t>
  </si>
  <si>
    <t>030-00078</t>
  </si>
  <si>
    <t>[[🏠 My Home]]</t>
  </si>
  <si>
    <t>030-00079</t>
  </si>
  <si>
    <t>[[FUN - Frequently Used Notes]]</t>
  </si>
  <si>
    <t>030-00080</t>
  </si>
  <si>
    <t>[[⚒️ FUE - Frequently Used Emoji's]]</t>
  </si>
  <si>
    <t>030-00081</t>
  </si>
  <si>
    <t>[[📌 Obsidian Setup Kanban]]</t>
  </si>
  <si>
    <t>030-00082</t>
  </si>
  <si>
    <t>[[🗺️ My Tools MOC]]</t>
  </si>
  <si>
    <t>030-00083</t>
  </si>
  <si>
    <t>[[⚒️ My Toolbox]]</t>
  </si>
  <si>
    <t>030-00084</t>
  </si>
  <si>
    <t>[[📌 My Daily Kanban]]</t>
  </si>
  <si>
    <t>030-00085</t>
  </si>
  <si>
    <t>[[⚓ My Areas]]</t>
  </si>
  <si>
    <t>030-00086</t>
  </si>
  <si>
    <t>[[⚡ My Projects]]</t>
  </si>
  <si>
    <t>030-00087</t>
  </si>
  <si>
    <t>[[🦋 My Resources]]</t>
  </si>
  <si>
    <t>030-00088</t>
  </si>
  <si>
    <t>[[💡 My Brainstorms]]</t>
  </si>
  <si>
    <t>030-00089</t>
  </si>
  <si>
    <t>[[💡  My Brainstorms]]</t>
  </si>
  <si>
    <t>030-00090</t>
  </si>
  <si>
    <t>[[_index]]</t>
  </si>
  <si>
    <t>030-00091</t>
  </si>
  <si>
    <t>[[💭  My Thoughts]]</t>
  </si>
  <si>
    <t>030-00092</t>
  </si>
  <si>
    <t>[[📥  My Inputs]]</t>
  </si>
  <si>
    <t>030-00093</t>
  </si>
  <si>
    <t>[[🗺️ Recipes MOC]]</t>
  </si>
  <si>
    <t>030-00094</t>
  </si>
  <si>
    <t>[[📥 My Inputs Workflow]]</t>
  </si>
  <si>
    <t>030-00095</t>
  </si>
  <si>
    <t>[[🗺️ Cooking MOC]]</t>
  </si>
  <si>
    <t>030-00096</t>
  </si>
  <si>
    <t>030-00097</t>
  </si>
  <si>
    <t>[Free DNS Servers](https://portchecker.co/free-dns)</t>
  </si>
  <si>
    <t>030-00098</t>
  </si>
  <si>
    <t>[[Setup Nginx Proxy Manager]]</t>
  </si>
  <si>
    <t>030-00099</t>
  </si>
  <si>
    <t>[[📌 Cheatsheet Library Kanban]]</t>
  </si>
  <si>
    <t>030-00100</t>
  </si>
  <si>
    <t>030-00101</t>
  </si>
  <si>
    <t>[[Obsidian Vault Healthcheck v.1]]</t>
  </si>
  <si>
    <t>030-00102</t>
  </si>
  <si>
    <t>030-00103</t>
  </si>
  <si>
    <t>[[Homesale Timeline]]</t>
  </si>
  <si>
    <t>030-00104</t>
  </si>
  <si>
    <t>https://www.reddit.com/r/Hue/comments/d2dms1/is_it_possible_to_display_serial_numbers_of_hue/</t>
  </si>
  <si>
    <t>030-00105</t>
  </si>
  <si>
    <t>[[2024-12-01]]</t>
  </si>
  <si>
    <t>030-00106</t>
  </si>
  <si>
    <t>[[2024-11-13]]</t>
  </si>
  <si>
    <t>030-00107</t>
  </si>
  <si>
    <t>⚡ My Projects</t>
  </si>
  <si>
    <t>030-00108</t>
  </si>
  <si>
    <t>[[⚒️ Tag Usage Queries]]</t>
  </si>
  <si>
    <t>030-00109</t>
  </si>
  <si>
    <t>[[⚡ Learning Obsidian Project]]</t>
  </si>
  <si>
    <t>030-00110</t>
  </si>
  <si>
    <t>[[Hotkeys Defined]]</t>
  </si>
  <si>
    <t>030-00111</t>
  </si>
  <si>
    <t>[[🦋 Media]]</t>
  </si>
  <si>
    <t>030-00112</t>
  </si>
  <si>
    <t>[[Setup Deluge]]</t>
  </si>
  <si>
    <t>030-00113</t>
  </si>
  <si>
    <t>[[Having Deeper Conversations]]</t>
  </si>
  <si>
    <t>030-00114</t>
  </si>
  <si>
    <t>[[📌 Office Desk Design Kanban]]</t>
  </si>
  <si>
    <t>030-00115</t>
  </si>
  <si>
    <t>[[2024-12-08]]</t>
  </si>
  <si>
    <t>030-00116</t>
  </si>
  <si>
    <t>[[2024-12-04]]</t>
  </si>
  <si>
    <t>030-00117</t>
  </si>
  <si>
    <t>[[Twelve Steps of AA]]</t>
  </si>
  <si>
    <t>030-00118</t>
  </si>
  <si>
    <t>[[⚡ Recovery Project]]</t>
  </si>
  <si>
    <t>030-00119</t>
  </si>
  <si>
    <t>030-00120</t>
  </si>
  <si>
    <t>[[Daily Prayers]]</t>
  </si>
  <si>
    <t>030-00121</t>
  </si>
  <si>
    <t>[[2024-12-02]]</t>
  </si>
  <si>
    <t>030-00122</t>
  </si>
  <si>
    <t>[[📌 Recovery Kanban]]</t>
  </si>
  <si>
    <t>030-00123</t>
  </si>
  <si>
    <t>[[Health]]</t>
  </si>
  <si>
    <t>030-00124</t>
  </si>
  <si>
    <t>[[Politics MOC]]</t>
  </si>
  <si>
    <t>030-00125</t>
  </si>
  <si>
    <t>[[2023-W02]]</t>
  </si>
  <si>
    <t>030-00126</t>
  </si>
  <si>
    <t>[[https://www.soldnest.com/blog/real-estate-agent-questions/|13 Crucial Questions to Ask a Realtor When Selling]]</t>
  </si>
  <si>
    <t>030-00127</t>
  </si>
  <si>
    <t>[[https://memstechtips.com/22-free-windows-utilities-every-user-must-know/|22 FREE Windows Utilities EVERY User MUST Know About!]]</t>
  </si>
  <si>
    <t>030-00128</t>
  </si>
  <si>
    <t>[[Make a USB CasaOS Recovery Drive]]</t>
  </si>
  <si>
    <t>030-00129</t>
  </si>
  <si>
    <t>[[https://getpocket.com/explore/item/do-yourself-a-favor-and-go-find-a-third-place|Do Yourself a Favor and Go Find a ‘Third Place’]]</t>
  </si>
  <si>
    <t>030-00130</t>
  </si>
  <si>
    <t>[[https://code.tutsplus.com/quick-tip-how-to-make-changes-to-multiple-files-within-a-directory-using-python--cms-26452t|How to Make Changes to Multiple Files Using Python | Envato Tuts+]]</t>
  </si>
  <si>
    <t>030-00131</t>
  </si>
  <si>
    <t>[[https://getpocket.com/explore/item/kurt-vonnegut-s-greatest-writing-advice|Kurt Vonnegut’s Greatest Writing Advice]]</t>
  </si>
  <si>
    <t>030-00132</t>
  </si>
  <si>
    <t>[[https://google.github.io/styleguide/pyguide.htmls3.16.2-naming-conventions|styleguide]]</t>
  </si>
  <si>
    <t>030-00133</t>
  </si>
  <si>
    <t>[https://www.ncbi.nlm.nih.gov/books/NBK513238/](https://www.ncbi.nlm.nih.gov/books/NBK513238/)</t>
  </si>
  <si>
    <t>030-00134</t>
  </si>
  <si>
    <t>[[https://getpocket.com/explore/item/the-growing-link-between-microbes-mood-and-mental-health?utm_source=pocket-newtab-en-us|The Growing Link Between Microbes, Mood and Mental Health]]</t>
  </si>
  <si>
    <t>030-00135</t>
  </si>
  <si>
    <t>[What is Thread and how will it help your smart home?](https://www.theverge.com/23165855/thread-smart-home-protocol-matter-apple-google-interview)</t>
  </si>
  <si>
    <t>030-00136</t>
  </si>
  <si>
    <t>[[🦋 Cooking]]</t>
  </si>
  <si>
    <t>030-00137</t>
  </si>
  <si>
    <t>[[⚡ Office Desk Design Project]]</t>
  </si>
  <si>
    <t>030-00138</t>
  </si>
  <si>
    <t>[[50_Beginner_watercolor_tips.pdf]]</t>
  </si>
  <si>
    <t>030-00139</t>
  </si>
  <si>
    <t>[[https://iamalexmathers.medium.com/how-to-create-so-much-they-cant-ignore-you-c961ee5a23f3|Source article]]</t>
  </si>
  <si>
    <t>030-00140</t>
  </si>
  <si>
    <t>[[PC SoftwareMaintenance MOC]]</t>
  </si>
  <si>
    <t>030-00141</t>
  </si>
  <si>
    <t>[[3-Resources/🦋 Home/Home]]</t>
  </si>
  <si>
    <t>030-00142</t>
  </si>
  <si>
    <t>🦋 Music</t>
  </si>
  <si>
    <t>030-00143</t>
  </si>
  <si>
    <t>[[Monthly Reviews]]</t>
  </si>
  <si>
    <t>030-00144</t>
  </si>
  <si>
    <t>[[📆  My Periodic Reviews]]</t>
  </si>
  <si>
    <t>030-00145</t>
  </si>
  <si>
    <t>[[['&lt;% tp.date.now("YYYY-MM-DD") %&gt;']]]</t>
  </si>
  <si>
    <t>030-00146</t>
  </si>
  <si>
    <t>031-00001</t>
  </si>
  <si>
    <t>[[{{date: MMMM YYYY}}]]</t>
  </si>
  <si>
    <t>032-00001</t>
  </si>
  <si>
    <t>inline value</t>
  </si>
  <si>
    <t>033-00001</t>
  </si>
  <si>
    <t>034-00001</t>
  </si>
  <si>
    <t>035-00001</t>
  </si>
  <si>
    <t>036-00001</t>
  </si>
  <si>
    <t>037-00001</t>
  </si>
  <si>
    <t>038-00001</t>
  </si>
  <si>
    <t>039-00001</t>
  </si>
  <si>
    <t>040-00001</t>
  </si>
  <si>
    <t>041-00001</t>
  </si>
  <si>
    <t>042-00001</t>
  </si>
  <si>
    <t>043-00001</t>
  </si>
  <si>
    <t>044-00001</t>
  </si>
  <si>
    <t>045-00001</t>
  </si>
  <si>
    <t>046-00001</t>
  </si>
  <si>
    <t>047-00001</t>
  </si>
  <si>
    <t>048-00001</t>
  </si>
  <si>
    <t>049-00001</t>
  </si>
  <si>
    <t>050-00001</t>
  </si>
  <si>
    <t>051-00001</t>
  </si>
  <si>
    <t>052-00001</t>
  </si>
  <si>
    <t>053-00001</t>
  </si>
  <si>
    <t>054-00001</t>
  </si>
  <si>
    <t>055-00001</t>
  </si>
  <si>
    <t>056-00001</t>
  </si>
  <si>
    <t>057-00001</t>
  </si>
  <si>
    <t>058-00001</t>
  </si>
  <si>
    <t>059-00001</t>
  </si>
  <si>
    <t>060-00001</t>
  </si>
  <si>
    <t>061-00001</t>
  </si>
  <si>
    <t>062-00001</t>
  </si>
  <si>
    <t>063-00001</t>
  </si>
  <si>
    <t>064-00001</t>
  </si>
  <si>
    <t>065-00001</t>
  </si>
  <si>
    <t>066-00001</t>
  </si>
  <si>
    <t>067-00001</t>
  </si>
  <si>
    <t>068-00001</t>
  </si>
  <si>
    <t>069-00001</t>
  </si>
  <si>
    <t>070-00001</t>
  </si>
  <si>
    <t>071-00001</t>
  </si>
  <si>
    <t>072-00001</t>
  </si>
  <si>
    <t>073-00001</t>
  </si>
  <si>
    <t>24 Hour Club - Easy Does It</t>
  </si>
  <si>
    <t>074-00001</t>
  </si>
  <si>
    <t>24HC-Easy Does It</t>
  </si>
  <si>
    <t>074-00002</t>
  </si>
  <si>
    <t>075-00001</t>
  </si>
  <si>
    <t>076-00001</t>
  </si>
  <si>
    <t>077-00001</t>
  </si>
  <si>
    <t>078-00001</t>
  </si>
  <si>
    <t>079-00001</t>
  </si>
  <si>
    <t>080-00001</t>
  </si>
  <si>
    <t>081-00001</t>
  </si>
  <si>
    <t>082-00001</t>
  </si>
  <si>
    <t>083-00001</t>
  </si>
  <si>
    <t>![[&lt;% tp.file.title %&gt;.png]]</t>
  </si>
  <si>
    <t>084-00001</t>
  </si>
  <si>
    <t>![[&lt;% tp.file.title %&gt;_thumb.png]]</t>
  </si>
  <si>
    <t>085-00001</t>
  </si>
  <si>
    <t>Unknown</t>
  </si>
  <si>
    <t>086-00001</t>
  </si>
  <si>
    <t>087-00001</t>
  </si>
  <si>
    <t>088-00001</t>
  </si>
  <si>
    <t>089-00001</t>
  </si>
  <si>
    <t>090-00001</t>
  </si>
  <si>
    <t>[[AA]]</t>
  </si>
  <si>
    <t>091-00001</t>
  </si>
  <si>
    <t>092-00001</t>
  </si>
  <si>
    <t>093-00001</t>
  </si>
  <si>
    <t>094-00001</t>
  </si>
  <si>
    <t>095-00001</t>
  </si>
  <si>
    <t>096-00001</t>
  </si>
  <si>
    <t>[[2022-M07Biggest Personal Achievement|🙌]]</t>
  </si>
  <si>
    <t>097-00001</t>
  </si>
  <si>
    <t>[[2022-Q3Biggest Personal Achievement|🙌]]</t>
  </si>
  <si>
    <t>097-00002</t>
  </si>
  <si>
    <t>[[2022-W28Biggest Personal Achievement|🙌]]</t>
  </si>
  <si>
    <t>097-00003</t>
  </si>
  <si>
    <t>[[2022Biggest Personal Achievement|🙌]]</t>
  </si>
  <si>
    <t>097-00004</t>
  </si>
  <si>
    <t>[[2024-Q4Biggest Personal Achievement|🙌]]</t>
  </si>
  <si>
    <t>097-00005</t>
  </si>
  <si>
    <t>[[Master OSINT Toolbox]]</t>
  </si>
  <si>
    <t>098-00001</t>
  </si>
  <si>
    <t>098-00002</t>
  </si>
  <si>
    <t>[[⚡ Coding]]</t>
  </si>
  <si>
    <t>098-00003</t>
  </si>
  <si>
    <t>[[⚡ Learn Python and OOP Project]]</t>
  </si>
  <si>
    <t>098-00004</t>
  </si>
  <si>
    <t>098-00005</t>
  </si>
  <si>
    <t>[[⚡ Money Management Project]]</t>
  </si>
  <si>
    <t>098-00006</t>
  </si>
  <si>
    <t>098-00007</t>
  </si>
  <si>
    <t>098-00008</t>
  </si>
  <si>
    <t>[[💡 Rebirth CWS]]</t>
  </si>
  <si>
    <t>098-00009</t>
  </si>
  <si>
    <t>[[🦋 Coding]]</t>
  </si>
  <si>
    <t>098-00010</t>
  </si>
  <si>
    <t>099-00001</t>
  </si>
  <si>
    <t>099-00002</t>
  </si>
  <si>
    <t>099-00003</t>
  </si>
  <si>
    <t>099-00004</t>
  </si>
  <si>
    <t>099-00005</t>
  </si>
  <si>
    <t>099-00006</t>
  </si>
  <si>
    <t>099-00007</t>
  </si>
  <si>
    <t>099-00008</t>
  </si>
  <si>
    <t>099-00009</t>
  </si>
  <si>
    <t>099-00010</t>
  </si>
  <si>
    <t>099-00011</t>
  </si>
  <si>
    <t>099-00012</t>
  </si>
  <si>
    <t>099-00013</t>
  </si>
  <si>
    <t>099-00014</t>
  </si>
  <si>
    <t>099-00015</t>
  </si>
  <si>
    <t>099-00016</t>
  </si>
  <si>
    <t>099-00017</t>
  </si>
  <si>
    <t>099-00018</t>
  </si>
  <si>
    <t>099-00019</t>
  </si>
  <si>
    <t>[[Q{{date:Q}} - {{date:YYYY}}]]</t>
  </si>
  <si>
    <t>100-00001</t>
  </si>
  <si>
    <t>★★☆☆☆</t>
  </si>
  <si>
    <t>101-00001</t>
  </si>
  <si>
    <t>★★★★★</t>
  </si>
  <si>
    <t>101-00002</t>
  </si>
  <si>
    <t>★★★★☆</t>
  </si>
  <si>
    <t>101-00003</t>
  </si>
  <si>
    <t>⭐⭐⭐⭐</t>
  </si>
  <si>
    <t>101-00004</t>
  </si>
  <si>
    <t>⭐</t>
  </si>
  <si>
    <t>101-00005</t>
  </si>
  <si>
    <t>101-00006</t>
  </si>
  <si>
    <t>object Object</t>
  </si>
  <si>
    <t>101-00007</t>
  </si>
  <si>
    <t>★★★☆☆</t>
  </si>
  <si>
    <t>101-00008</t>
  </si>
  <si>
    <t>&lt;% tp.file.cursor() %&gt;</t>
  </si>
  <si>
    <t>101-00009</t>
  </si>
  <si>
    <t>102-00001</t>
  </si>
  <si>
    <t>103-00001</t>
  </si>
  <si>
    <t>[[🦋 Astronomy]]</t>
  </si>
  <si>
    <t>103-00002</t>
  </si>
  <si>
    <t>103-00003</t>
  </si>
  <si>
    <t>[[🦋 Cheatsheets]]</t>
  </si>
  <si>
    <t>103-00004</t>
  </si>
  <si>
    <t>103-00005</t>
  </si>
  <si>
    <t>[[🦋 Computers]]</t>
  </si>
  <si>
    <t>103-00006</t>
  </si>
  <si>
    <t>103-00007</t>
  </si>
  <si>
    <t>[[🦋 Design]]</t>
  </si>
  <si>
    <t>103-00008</t>
  </si>
  <si>
    <t>[[🦋 Genealogy]]</t>
  </si>
  <si>
    <t>103-00009</t>
  </si>
  <si>
    <t>[[🦋 Home]]</t>
  </si>
  <si>
    <t>103-00010</t>
  </si>
  <si>
    <t>103-00011</t>
  </si>
  <si>
    <t>[[🦋 Music]]</t>
  </si>
  <si>
    <t>103-00012</t>
  </si>
  <si>
    <t>[[🦋 Travel]]</t>
  </si>
  <si>
    <t>103-00013</t>
  </si>
  <si>
    <t>103-00014</t>
  </si>
  <si>
    <t>103-00015</t>
  </si>
  <si>
    <t>What</t>
  </si>
  <si>
    <t>104-00001</t>
  </si>
  <si>
    <t>test</t>
  </si>
  <si>
    <t>104-00002</t>
  </si>
  <si>
    <t>Medium.com</t>
  </si>
  <si>
    <t>105-00001</t>
  </si>
  <si>
    <t>[https://www.obsidianroundup.org/the-konik-method-for-making-notes/](https://www.obsidianroundup.org/the-konik-method-for-making-notes/)</t>
  </si>
  <si>
    <t>105-00002</t>
  </si>
  <si>
    <t>https://kurisucode.com/2023/05/22/installing-and-configuring-casaos-nginx-proxy-manager-on-ubuntu-server-23-04/</t>
  </si>
  <si>
    <t>105-00003</t>
  </si>
  <si>
    <t>https://www.keycdn.com/blog/vim-commands</t>
  </si>
  <si>
    <t>105-00004</t>
  </si>
  <si>
    <t>https://www.theguardian.com/lifeandstyle/2023/feb/06/how-to-have-a-happy-life-according-to-the-worlds-leading-expert?utm_source=pocket-newtab</t>
  </si>
  <si>
    <t>105-00005</t>
  </si>
  <si>
    <t>https://youtu.be/rjTk4VcGR3I</t>
  </si>
  <si>
    <t>105-00006</t>
  </si>
  <si>
    <t>mdWebClipper</t>
  </si>
  <si>
    <t>105-00007</t>
  </si>
  <si>
    <t>mdWebClipper https://getpocket.com/explore/item/how-to-deal-with-movies-that-bounce-from-too-quiet-to-too-loud?utm_source=pocket-newtab-en-us</t>
  </si>
  <si>
    <t>105-00008</t>
  </si>
  <si>
    <t>mdWebClipper https://member.nhbar.org/referral</t>
  </si>
  <si>
    <t>105-00009</t>
  </si>
  <si>
    <t>mdWebClipper https://photos.google.com/</t>
  </si>
  <si>
    <t>105-00010</t>
  </si>
  <si>
    <t>mdWebClipper https://www.amcharts.com/download/</t>
  </si>
  <si>
    <t>105-00011</t>
  </si>
  <si>
    <t>mdWebClipper https://www.baeldung.com/linux/vim-search-replace</t>
  </si>
  <si>
    <t>105-00012</t>
  </si>
  <si>
    <t>mdWebClipper https://www.techhive.com/article/578635/the-ad-haters-guide-to-cord-cutting.html</t>
  </si>
  <si>
    <t>105-00013</t>
  </si>
  <si>
    <t>mdWebClipper https://www.techrepublic.com/article/how-to-disable-ipv6-on-linux/</t>
  </si>
  <si>
    <t>105-00014</t>
  </si>
  <si>
    <t>mdWebClipper https://www.wikihow.com/Kill-Ants-Using-Borax</t>
  </si>
  <si>
    <t>105-00015</t>
  </si>
  <si>
    <t>mdWebClipper https://www.xda-developers.com/text-from-pc-with-iphone/download-intel-unison</t>
  </si>
  <si>
    <t>105-00016</t>
  </si>
  <si>
    <t>mdWebClipper moz-extension://2341309a-9bb8-44c1-8560-e4d63b913647/care/</t>
  </si>
  <si>
    <t>105-00017</t>
  </si>
  <si>
    <t>106-00001</t>
  </si>
  <si>
    <t>106-00002</t>
  </si>
  <si>
    <t>106-00003</t>
  </si>
  <si>
    <t>106-00004</t>
  </si>
  <si>
    <t>106-00005</t>
  </si>
  <si>
    <t>106-00006</t>
  </si>
  <si>
    <t>106-00007</t>
  </si>
  <si>
    <t>106-00008</t>
  </si>
  <si>
    <t>106-00009</t>
  </si>
  <si>
    <t>106-00010</t>
  </si>
  <si>
    <t>106-00011</t>
  </si>
  <si>
    <t>106-00012</t>
  </si>
  <si>
    <t>106-00013</t>
  </si>
  <si>
    <t>106-00014</t>
  </si>
  <si>
    <t>106-00015</t>
  </si>
  <si>
    <t>106-00016</t>
  </si>
  <si>
    <t>106-00017</t>
  </si>
  <si>
    <t>note/🌱</t>
  </si>
  <si>
    <t>107-00001</t>
  </si>
  <si>
    <t>note/🌲</t>
  </si>
  <si>
    <t>107-00002</t>
  </si>
  <si>
    <t>thoughts/reflections</t>
  </si>
  <si>
    <t>107-00003</t>
  </si>
  <si>
    <t>⚡/🟥</t>
  </si>
  <si>
    <t>107-00004</t>
  </si>
  <si>
    <t>⚡/🟧</t>
  </si>
  <si>
    <t>107-00005</t>
  </si>
  <si>
    <t>⚡/🟨</t>
  </si>
  <si>
    <t>107-00006</t>
  </si>
  <si>
    <t>🍟WIP</t>
  </si>
  <si>
    <t>107-00007</t>
  </si>
  <si>
    <t>🍺Done</t>
  </si>
  <si>
    <t>107-00008</t>
  </si>
  <si>
    <t>💡/</t>
  </si>
  <si>
    <t>107-00009</t>
  </si>
  <si>
    <t>💡/🟥</t>
  </si>
  <si>
    <t>107-00010</t>
  </si>
  <si>
    <t>💡/🟨</t>
  </si>
  <si>
    <t>107-00011</t>
  </si>
  <si>
    <t>📝/⬛</t>
  </si>
  <si>
    <t>107-00012</t>
  </si>
  <si>
    <t>📝/🟥</t>
  </si>
  <si>
    <t>107-00013</t>
  </si>
  <si>
    <t>📝/🟨</t>
  </si>
  <si>
    <t>107-00014</t>
  </si>
  <si>
    <t>📝/🟩</t>
  </si>
  <si>
    <t>107-00015</t>
  </si>
  <si>
    <t>📥/</t>
  </si>
  <si>
    <t>107-00016</t>
  </si>
  <si>
    <t>📥/🟥</t>
  </si>
  <si>
    <t>107-00017</t>
  </si>
  <si>
    <t>📥/🟧</t>
  </si>
  <si>
    <t>107-00018</t>
  </si>
  <si>
    <t>📥/🟨</t>
  </si>
  <si>
    <t>107-00019</t>
  </si>
  <si>
    <t>📥/🟩</t>
  </si>
  <si>
    <t>107-00020</t>
  </si>
  <si>
    <t>emoji//1f4c6</t>
  </si>
  <si>
    <t>108-00001</t>
  </si>
  <si>
    <t>[[Dataview Toolkit by Paul Dickson SubVault]]</t>
  </si>
  <si>
    <t>109-00001</t>
  </si>
  <si>
    <t>109-00002</t>
  </si>
  <si>
    <t>[[2022-M07Summary|✍️]]</t>
  </si>
  <si>
    <t>110-00001</t>
  </si>
  <si>
    <t>[[2022-Q3Summary|✍️]]</t>
  </si>
  <si>
    <t>110-00002</t>
  </si>
  <si>
    <t>[[2022-W28Summary|✍️]]</t>
  </si>
  <si>
    <t>110-00003</t>
  </si>
  <si>
    <t>[[2022Summary|✍️]]</t>
  </si>
  <si>
    <t>110-00004</t>
  </si>
  <si>
    <t>[[2024-Q4Summary|✍️]]</t>
  </si>
  <si>
    <t>110-00005</t>
  </si>
  <si>
    <t>https://img.youtube.com/vi/0fUNJupDzGY/maxresdefault.jpg</t>
  </si>
  <si>
    <t>111-00001</t>
  </si>
  <si>
    <t>https://img.youtube.com/vi/1dDNoBNC4RE/maxresdefault.jpg</t>
  </si>
  <si>
    <t>111-00002</t>
  </si>
  <si>
    <t>https://img.youtube.com/vi/1o-eO5doJrM/maxresdefault.jpg</t>
  </si>
  <si>
    <t>111-00003</t>
  </si>
  <si>
    <t>https://img.youtube.com/vi/4CRnLgNwDjE/maxresdefault.jpg</t>
  </si>
  <si>
    <t>111-00004</t>
  </si>
  <si>
    <t>https://img.youtube.com/vi/5CcfD2quIAg/maxresdefault.jpg</t>
  </si>
  <si>
    <t>111-00005</t>
  </si>
  <si>
    <t>https://img.youtube.com/vi/CZ17JrgFFhw/maxresdefault.jpg</t>
  </si>
  <si>
    <t>111-00006</t>
  </si>
  <si>
    <t>https://img.youtube.com/vi/DqWNARyLy80/maxresdefault.jpg</t>
  </si>
  <si>
    <t>111-00007</t>
  </si>
  <si>
    <t>https://img.youtube.com/vi/KD0ChM3-8ZU/maxresdefault.jpg</t>
  </si>
  <si>
    <t>111-00008</t>
  </si>
  <si>
    <t>https://img.youtube.com/vi/KGmMJxV4kUc/maxresdefault.jpg</t>
  </si>
  <si>
    <t>111-00009</t>
  </si>
  <si>
    <t>https://img.youtube.com/vi/OQbOcj7xkMA/maxresdefault.jpg</t>
  </si>
  <si>
    <t>111-00010</t>
  </si>
  <si>
    <t>https://img.youtube.com/vi/RZ8ijmy3qPo/maxresdefault.jpg</t>
  </si>
  <si>
    <t>111-00011</t>
  </si>
  <si>
    <t>https://img.youtube.com/vi/dQLfHnyY1ng?list=PLRZa_kv437FE4-F1bXnYG89DCPaFYn_Xm/maxresdefault.jpg</t>
  </si>
  <si>
    <t>111-00012</t>
  </si>
  <si>
    <t>https://img.youtube.com/vi/dSkvbv7YFx0/maxresdefault.jpg</t>
  </si>
  <si>
    <t>111-00013</t>
  </si>
  <si>
    <t>https://img.youtube.com/vi/l8_ZngodVVA/maxresdefault.jpg</t>
  </si>
  <si>
    <t>111-00014</t>
  </si>
  <si>
    <t>https://img.youtube.com/vi/qlKR_cEIORY/maxresdefault.jpg</t>
  </si>
  <si>
    <t>111-00015</t>
  </si>
  <si>
    <t>https://img.youtube.com/vi/s2mJaVZgCpg/maxresdefault.jpg</t>
  </si>
  <si>
    <t>111-00016</t>
  </si>
  <si>
    <t>https://img.youtube.com/vi/vq8YraM3GJo/maxresdefault.jpg</t>
  </si>
  <si>
    <t>111-00017</t>
  </si>
  <si>
    <t>https://img.youtube.com/vi/xwYraHxmgtQ/maxresdefault.jpg</t>
  </si>
  <si>
    <t>111-00018</t>
  </si>
  <si>
    <t>13 Crucial Questions to Ask a Realtor When Selling</t>
  </si>
  <si>
    <t>112-00001</t>
  </si>
  <si>
    <t>17 Habits of the Self-Destructive Person (+ How to Stop)</t>
  </si>
  <si>
    <t>112-00002</t>
  </si>
  <si>
    <t>112-00003</t>
  </si>
  <si>
    <t>2022’s seismic shift in US tech policy will change how we innovate</t>
  </si>
  <si>
    <t>112-00004</t>
  </si>
  <si>
    <t>112-00005</t>
  </si>
  <si>
    <t>112-00006</t>
  </si>
  <si>
    <t>Amazon’s Satellite Internet Won’t Need a Giant Antenna</t>
  </si>
  <si>
    <t>112-00007</t>
  </si>
  <si>
    <t>112-00008</t>
  </si>
  <si>
    <t>CIA Wanted His Hotel as Bay of Pigs Haven, Moore Testifies</t>
  </si>
  <si>
    <t>112-00009</t>
  </si>
  <si>
    <t>Category:SVG by subject - Wikimedia Commons</t>
  </si>
  <si>
    <t>112-00010</t>
  </si>
  <si>
    <t>Do Yourself a Favor and Go Find a ‘Third Place’</t>
  </si>
  <si>
    <t>112-00011</t>
  </si>
  <si>
    <t>Forget ChatGPT; You will not regret using these AI tools in 2023.</t>
  </si>
  <si>
    <t>112-00012</t>
  </si>
  <si>
    <t>Forget ChatGPT; You will not regret using these AI tools in 2023. — Part 3</t>
  </si>
  <si>
    <t>112-00013</t>
  </si>
  <si>
    <t>Forget ChatGPT; You will not regret using these AI tools in 2023. — Part 4</t>
  </si>
  <si>
    <t>112-00014</t>
  </si>
  <si>
    <t>112-00015</t>
  </si>
  <si>
    <t>GitHub - jantic/DeOldify: A Deep Learning based project for colorizing and restoring old images (and video!)</t>
  </si>
  <si>
    <t>112-00016</t>
  </si>
  <si>
    <t>Haircut--Ring Lardner (1885-1933)</t>
  </si>
  <si>
    <t>112-00017</t>
  </si>
  <si>
    <t>Hotel Parkerson | OBX Connection Message Board</t>
  </si>
  <si>
    <t>112-00018</t>
  </si>
  <si>
    <t>How ChatGPT is Changing the Game for Entrepreneurs: 10 Reasons You Can’t Ignore</t>
  </si>
  <si>
    <t>112-00019</t>
  </si>
  <si>
    <t>112-00020</t>
  </si>
  <si>
    <t>How To Cook a Chicken Breast - FlavCity with Bobby Parrish</t>
  </si>
  <si>
    <t>112-00021</t>
  </si>
  <si>
    <t>How To Enable Always-On Display On iPhone With This iOS Trick</t>
  </si>
  <si>
    <t>112-00022</t>
  </si>
  <si>
    <t>112-00023</t>
  </si>
  <si>
    <t>112-00024</t>
  </si>
  <si>
    <t>112-00025</t>
  </si>
  <si>
    <t>How to Create So Much They Can’t Ignore You</t>
  </si>
  <si>
    <t>112-00026</t>
  </si>
  <si>
    <t>How to Make Changes to Multiple Files Using Python | Envato Tuts+</t>
  </si>
  <si>
    <t>112-00027</t>
  </si>
  <si>
    <t>112-00028</t>
  </si>
  <si>
    <t>Kurt Vonnegut’s Greatest Writing Advice</t>
  </si>
  <si>
    <t>112-00029</t>
  </si>
  <si>
    <t>Learn Python in Y Minutes</t>
  </si>
  <si>
    <t>112-00030</t>
  </si>
  <si>
    <t>112-00031</t>
  </si>
  <si>
    <t>Putting a HALT to our Self-Destructive Behaviors - Pine Rest Newsroom</t>
  </si>
  <si>
    <t>112-00032</t>
  </si>
  <si>
    <t>Random packages from Walmart</t>
  </si>
  <si>
    <t>112-00033</t>
  </si>
  <si>
    <t>Relaxation Techniques</t>
  </si>
  <si>
    <t>112-00034</t>
  </si>
  <si>
    <t>Revolutionize Your Life With These Must-Visit AI Websites — Part 1</t>
  </si>
  <si>
    <t>112-00035</t>
  </si>
  <si>
    <t>The Food Expiration Dates You Should Actually Follow</t>
  </si>
  <si>
    <t>112-00036</t>
  </si>
  <si>
    <t>The Growing Link Between Microbes, Mood and Mental Health</t>
  </si>
  <si>
    <t>112-00037</t>
  </si>
  <si>
    <t>112-00038</t>
  </si>
  <si>
    <t>112-00039</t>
  </si>
  <si>
    <t>112-00040</t>
  </si>
  <si>
    <t>U.S Presidents 1789 - 1817: Washington, Adams, Jefferson &amp; Madison Documentary</t>
  </si>
  <si>
    <t>112-00041</t>
  </si>
  <si>
    <t>112-00042</t>
  </si>
  <si>
    <t>Watercolor Artist</t>
  </si>
  <si>
    <t>112-00043</t>
  </si>
  <si>
    <t>What is Thread and how will it help your smart home?</t>
  </si>
  <si>
    <t>112-00044</t>
  </si>
  <si>
    <t>Windows 10 and 11 Wont Boot, How To Fix UEFI Partition</t>
  </si>
  <si>
    <t>112-00045</t>
  </si>
  <si>
    <t>r/AutoHotkey - Unicode fractions</t>
  </si>
  <si>
    <t>112-00046</t>
  </si>
  <si>
    <t>styleguide</t>
  </si>
  <si>
    <t>112-00047</t>
  </si>
  <si>
    <t>2025.02.06</t>
  </si>
  <si>
    <t>113-00001</t>
  </si>
  <si>
    <t>113-00002</t>
  </si>
  <si>
    <t>113-00003</t>
  </si>
  <si>
    <t>113-00004</t>
  </si>
  <si>
    <t>2023.09.18</t>
  </si>
  <si>
    <t>113-00005</t>
  </si>
  <si>
    <t>2024.10.24</t>
  </si>
  <si>
    <t>113-00006</t>
  </si>
  <si>
    <t>2023.11.29</t>
  </si>
  <si>
    <t>113-00007</t>
  </si>
  <si>
    <t>2025.02.16</t>
  </si>
  <si>
    <t>113-00008</t>
  </si>
  <si>
    <t>2025.02.09</t>
  </si>
  <si>
    <t>113-00009</t>
  </si>
  <si>
    <t>2025.02.08</t>
  </si>
  <si>
    <t>113-00010</t>
  </si>
  <si>
    <t>113-00011</t>
  </si>
  <si>
    <t>113-00012</t>
  </si>
  <si>
    <t>113-00013</t>
  </si>
  <si>
    <t>2024.10.03</t>
  </si>
  <si>
    <t>113-00014</t>
  </si>
  <si>
    <t>2024.09.26</t>
  </si>
  <si>
    <t>113-00015</t>
  </si>
  <si>
    <t>113-00016</t>
  </si>
  <si>
    <t>2023.09.29</t>
  </si>
  <si>
    <t>113-00017</t>
  </si>
  <si>
    <t>2023.11.30</t>
  </si>
  <si>
    <t>113-00018</t>
  </si>
  <si>
    <t>2024.10.02</t>
  </si>
  <si>
    <t>113-00019</t>
  </si>
  <si>
    <t>113-00020</t>
  </si>
  <si>
    <t>2025-01-31</t>
  </si>
  <si>
    <t>113-00021</t>
  </si>
  <si>
    <t>2025-01-25</t>
  </si>
  <si>
    <t>113-00022</t>
  </si>
  <si>
    <t>2024.12.09</t>
  </si>
  <si>
    <t>113-00023</t>
  </si>
  <si>
    <t>2025-01-21</t>
  </si>
  <si>
    <t>113-00024</t>
  </si>
  <si>
    <t>2025-04-05</t>
  </si>
  <si>
    <t>113-00025</t>
  </si>
  <si>
    <t>114-00001</t>
  </si>
  <si>
    <t>114-00002</t>
  </si>
  <si>
    <t>114-00003</t>
  </si>
  <si>
    <t>115-00001</t>
  </si>
  <si>
    <t>[[📌 Sell House-Move]]</t>
  </si>
  <si>
    <t>115-00002</t>
  </si>
  <si>
    <t>⚡ Unassigned Project</t>
  </si>
  <si>
    <t>115-00003</t>
  </si>
  <si>
    <t>116-00001</t>
  </si>
  <si>
    <t>https://code.tutsplus.com/quick-tip-how-to-make-changes-to-multiple-files-within-a-directory-using-python--cms-26452t</t>
  </si>
  <si>
    <t>117-00001</t>
  </si>
  <si>
    <t>https://commons.wikimedia.org/wiki/Category:SVG_by_subject</t>
  </si>
  <si>
    <t>117-00002</t>
  </si>
  <si>
    <t>https://getpocket.com/explore/item/do-yourself-a-favor-and-go-find-a-third-place</t>
  </si>
  <si>
    <t>117-00003</t>
  </si>
  <si>
    <t>https://getpocket.com/explore/item/kurt-vonnegut-s-greatest-writing-advice</t>
  </si>
  <si>
    <t>117-00004</t>
  </si>
  <si>
    <t>https://getpocket.com/explore/item/the-growing-link-between-microbes-mood-and-mental-health?utm_source=pocket-newtab-en-us</t>
  </si>
  <si>
    <t>117-00005</t>
  </si>
  <si>
    <t>https://github.com/jantic/DeOldify</t>
  </si>
  <si>
    <t>117-00006</t>
  </si>
  <si>
    <t>https://google.github.io/styleguide/pyguide.html</t>
  </si>
  <si>
    <t>117-00007</t>
  </si>
  <si>
    <t>https://iamalexmathers.medium.com/how-to-create-so-much-they-cant-ignore-you-c961ee5a23f3</t>
  </si>
  <si>
    <t>117-00008</t>
  </si>
  <si>
    <t>https://learnxinyminutes.com/docs/python/</t>
  </si>
  <si>
    <t>117-00009</t>
  </si>
  <si>
    <t>https://lonerwolf.com/self-destructive-person/</t>
  </si>
  <si>
    <t>117-00010</t>
  </si>
  <si>
    <t>https://medium.com/@free-thinker/forget-chatgpt-you-will-not-regret-using-these-ai-tools-in-2023-7c2a39cc4901</t>
  </si>
  <si>
    <t>117-00011</t>
  </si>
  <si>
    <t>https://medium.com/@free-thinker/forget-chatgpt-you-will-not-regret-using-these-ai-tools-in-2023-part-3-4cb89f9412a5</t>
  </si>
  <si>
    <t>117-00012</t>
  </si>
  <si>
    <t>https://medium.com/@free-thinker/forget-chatgpt-you-will-not-regret-using-these-ai-tools-in-2023-part-4-4d421556c792</t>
  </si>
  <si>
    <t>117-00013</t>
  </si>
  <si>
    <t>https://medium.com/@free-thinker/how-chatgpt-is-changing-the-game-for-entrepreneurs-10-reasons-you-cant-ignore-328b272f2b35</t>
  </si>
  <si>
    <t>117-00014</t>
  </si>
  <si>
    <t>https://medium.com/@free-thinker/revolutionize-your-life-with-these-must-visit-ai-websites-part-1-34df77a5a681</t>
  </si>
  <si>
    <t>117-00015</t>
  </si>
  <si>
    <t>https://memstechtips.com/22-free-windows-utilities-every-user-must-know/</t>
  </si>
  <si>
    <t>117-00016</t>
  </si>
  <si>
    <t>https://screenrant.com/apple-iphone-enable-always-on-display-how/</t>
  </si>
  <si>
    <t>117-00017</t>
  </si>
  <si>
    <t>https://themeisle.com/blog/cheap-web-hosting/</t>
  </si>
  <si>
    <t>117-00018</t>
  </si>
  <si>
    <t>https://www.artistsnetwork.com/magazines/watercolor-artist/</t>
  </si>
  <si>
    <t>117-00019</t>
  </si>
  <si>
    <t>https://www.city-data.com/forum/shopping-consumer-products/3010269-random-packages-walmart-i-didnt-order.html</t>
  </si>
  <si>
    <t>117-00020</t>
  </si>
  <si>
    <t>https://www.classicshorts.com/stories/haircut.html</t>
  </si>
  <si>
    <t>117-00021</t>
  </si>
  <si>
    <t>https://www.flavcity.com/wprm_print/4312</t>
  </si>
  <si>
    <t>117-00022</t>
  </si>
  <si>
    <t>https://www.howtogeek.com/879279/amazons-satellite-internet-wont-need-a-giant-antenna/</t>
  </si>
  <si>
    <t>117-00023</t>
  </si>
  <si>
    <t>https://www.ncbi.nlm.nih.gov/books/NBK513238/</t>
  </si>
  <si>
    <t>117-00024</t>
  </si>
  <si>
    <t>https://www.nytimes.com/article/expiration-dates.html?action=click&amp;algo=bandit-all-surfaces-variants-lda-eng30s-alpha-0.03&amp;alpha=0.03&amp;block=editors_picks_recirc&amp;fellback=false&amp;imp_id=590034785&amp;impression_id=361d0a91-a172-11ed-a0dd-e3429b7df51c&amp;index=0&amp;pgtype=Article&amp;pool=pool%2Fe76d7165-92f7-4bd2-bc6e-298322d3680a&amp;region=footer&amp;req_id=359977386&amp;shadow_vec_sim=0&amp;surface=eos-home-featured&amp;variant=0_pers_bandit-refined-lda</t>
  </si>
  <si>
    <t>117-00025</t>
  </si>
  <si>
    <t>https://www.obxconnection.com/outer-banks-forum/forum-thread.aspx?Thread=20788</t>
  </si>
  <si>
    <t>117-00026</t>
  </si>
  <si>
    <t>https://www.pinerest.org/newsroom/articles/halt-self-destructive-behaviors-blog/</t>
  </si>
  <si>
    <t>117-00027</t>
  </si>
  <si>
    <t>https://www.reddit.com/r/AutoHotkey/comments/drp0fu/unicode_fractions/</t>
  </si>
  <si>
    <t>117-00028</t>
  </si>
  <si>
    <t>https://www.soldnest.com/blog/real-estate-agent-questions/</t>
  </si>
  <si>
    <t>117-00029</t>
  </si>
  <si>
    <t>https://www.technologyreview.com/2023/01/09/1064735/us-tech-policy-changing-innovation/</t>
  </si>
  <si>
    <t>117-00030</t>
  </si>
  <si>
    <t>https://www.theverge.com/23165855/thread-smart-home-protocol-matter-apple-google-interview</t>
  </si>
  <si>
    <t>117-00031</t>
  </si>
  <si>
    <t>https://www.washingtonpost.com/archive/politics/1977/04/27/cia-wanted-his-hotel-as-bay-of-pigs-haven-moore-testifies/11d22c24-5474-4685-ae65-c35316fe8e22/</t>
  </si>
  <si>
    <t>117-00032</t>
  </si>
  <si>
    <t>https://youtu.be/0fUNJupDzGY</t>
  </si>
  <si>
    <t>117-00033</t>
  </si>
  <si>
    <t>https://youtu.be/1dDNoBNC4RE</t>
  </si>
  <si>
    <t>117-00034</t>
  </si>
  <si>
    <t>https://youtu.be/1o-eO5doJrM</t>
  </si>
  <si>
    <t>117-00035</t>
  </si>
  <si>
    <t>https://youtu.be/4CRnLgNwDjE</t>
  </si>
  <si>
    <t>117-00036</t>
  </si>
  <si>
    <t>https://youtu.be/5CcfD2quIAg</t>
  </si>
  <si>
    <t>117-00037</t>
  </si>
  <si>
    <t>https://youtu.be/CZ17JrgFFhw</t>
  </si>
  <si>
    <t>117-00038</t>
  </si>
  <si>
    <t>https://youtu.be/DqWNARyLy80</t>
  </si>
  <si>
    <t>117-00039</t>
  </si>
  <si>
    <t>https://youtu.be/KD0ChM3-8ZU</t>
  </si>
  <si>
    <t>117-00040</t>
  </si>
  <si>
    <t>https://youtu.be/KGmMJxV4kUc</t>
  </si>
  <si>
    <t>117-00041</t>
  </si>
  <si>
    <t>https://youtu.be/OQbOcj7xkMA</t>
  </si>
  <si>
    <t>117-00042</t>
  </si>
  <si>
    <t>https://youtu.be/RZ8ijmy3qPo</t>
  </si>
  <si>
    <t>117-00043</t>
  </si>
  <si>
    <t>https://youtu.be/dQLfHnyY1ng?list=PLRZa_kv437FE4-F1bXnYG89DCPaFYn_Xm</t>
  </si>
  <si>
    <t>117-00044</t>
  </si>
  <si>
    <t>https://youtu.be/dSkvbv7YFx0</t>
  </si>
  <si>
    <t>117-00045</t>
  </si>
  <si>
    <t>https://youtu.be/l8_ZngodVVA</t>
  </si>
  <si>
    <t>117-00046</t>
  </si>
  <si>
    <t>https://youtu.be/qlKR_cEIORY</t>
  </si>
  <si>
    <t>117-00047</t>
  </si>
  <si>
    <t>https://youtu.be/s2mJaVZgCpg</t>
  </si>
  <si>
    <t>117-00048</t>
  </si>
  <si>
    <t>https://youtu.be/vq8YraM3GJo</t>
  </si>
  <si>
    <t>117-00049</t>
  </si>
  <si>
    <t>https://youtu.be/xwYraHxmgtQ</t>
  </si>
  <si>
    <t>117-00050</t>
  </si>
  <si>
    <t>2023-11-10</t>
  </si>
  <si>
    <t>118-00001</t>
  </si>
  <si>
    <t>year</t>
  </si>
  <si>
    <t>[[{{date:YYYY}}]]</t>
  </si>
  <si>
    <t>119-00001</t>
  </si>
  <si>
    <t>Tags Analysis</t>
  </si>
  <si>
    <t>All tags found in all markdown files.</t>
  </si>
  <si>
    <t>Totals at right will reflect column filters. This can be useful</t>
  </si>
  <si>
    <t>Tags</t>
  </si>
  <si>
    <t>aa</t>
  </si>
  <si>
    <t>aa/service</t>
  </si>
  <si>
    <t>aapanel</t>
  </si>
  <si>
    <t>aatopic</t>
  </si>
  <si>
    <t>about</t>
  </si>
  <si>
    <t>adobeillustrator</t>
  </si>
  <si>
    <t>adobelightroom</t>
  </si>
  <si>
    <t>ai</t>
  </si>
  <si>
    <t>annotated</t>
  </si>
  <si>
    <t>area_not</t>
  </si>
  <si>
    <t>art</t>
  </si>
  <si>
    <t>assets</t>
  </si>
  <si>
    <t>assets/💎cars</t>
  </si>
  <si>
    <t>assets/💎hw/swends</t>
  </si>
  <si>
    <t>assets/💎sw/productivity</t>
  </si>
  <si>
    <t>autohotkey</t>
  </si>
  <si>
    <t>backlog</t>
  </si>
  <si>
    <t>baeldung</t>
  </si>
  <si>
    <t>bazarr</t>
  </si>
  <si>
    <t>be</t>
  </si>
  <si>
    <t>biggest</t>
  </si>
  <si>
    <t>biographical</t>
  </si>
  <si>
    <t>bios</t>
  </si>
  <si>
    <t>bitcoin</t>
  </si>
  <si>
    <t>blendtool</t>
  </si>
  <si>
    <t>body_tag</t>
  </si>
  <si>
    <t>broken</t>
  </si>
  <si>
    <t>browsers</t>
  </si>
  <si>
    <t>cables</t>
  </si>
  <si>
    <t>calendar</t>
  </si>
  <si>
    <t>cards</t>
  </si>
  <si>
    <t>casaos</t>
  </si>
  <si>
    <t>cbee8c9196</t>
  </si>
  <si>
    <t>character</t>
  </si>
  <si>
    <t>christmas</t>
  </si>
  <si>
    <t>chrome</t>
  </si>
  <si>
    <t>classifications</t>
  </si>
  <si>
    <t>cloud</t>
  </si>
  <si>
    <t>cloudflare</t>
  </si>
  <si>
    <t>code</t>
  </si>
  <si>
    <t>coding</t>
  </si>
  <si>
    <t>comedy</t>
  </si>
  <si>
    <t>command</t>
  </si>
  <si>
    <t>commands</t>
  </si>
  <si>
    <t>comments</t>
  </si>
  <si>
    <t>computer/security</t>
  </si>
  <si>
    <t>computers</t>
  </si>
  <si>
    <t>computing</t>
  </si>
  <si>
    <t>conclusion</t>
  </si>
  <si>
    <t>config</t>
  </si>
  <si>
    <t>css</t>
  </si>
  <si>
    <t>custom</t>
  </si>
  <si>
    <t>cws</t>
  </si>
  <si>
    <t>cyberpanel</t>
  </si>
  <si>
    <t>daily</t>
  </si>
  <si>
    <t>dailynote</t>
  </si>
  <si>
    <t>darkweb</t>
  </si>
  <si>
    <t>dataview</t>
  </si>
  <si>
    <t>ddns</t>
  </si>
  <si>
    <t>deepweb</t>
  </si>
  <si>
    <t>design</t>
  </si>
  <si>
    <t>design/office</t>
  </si>
  <si>
    <t>desk</t>
  </si>
  <si>
    <t>dns</t>
  </si>
  <si>
    <t>doc</t>
  </si>
  <si>
    <t>docker</t>
  </si>
  <si>
    <t>download</t>
  </si>
  <si>
    <t>drinks</t>
  </si>
  <si>
    <t>dynamic</t>
  </si>
  <si>
    <t>earning</t>
  </si>
  <si>
    <t>easiest</t>
  </si>
  <si>
    <t>easypanel</t>
  </si>
  <si>
    <t>employment</t>
  </si>
  <si>
    <t>evergreen</t>
  </si>
  <si>
    <t>example</t>
  </si>
  <si>
    <t>execution</t>
  </si>
  <si>
    <t>feastmobilemenu</t>
  </si>
  <si>
    <t>features</t>
  </si>
  <si>
    <t>finances</t>
  </si>
  <si>
    <t>fix</t>
  </si>
  <si>
    <t>forwarding</t>
  </si>
  <si>
    <t>frequently</t>
  </si>
  <si>
    <t>from</t>
  </si>
  <si>
    <t>front</t>
  </si>
  <si>
    <t>frontmatter</t>
  </si>
  <si>
    <t>function</t>
  </si>
  <si>
    <t>functions</t>
  </si>
  <si>
    <t>further</t>
  </si>
  <si>
    <t>generate</t>
  </si>
  <si>
    <t>generics</t>
  </si>
  <si>
    <t>genesis</t>
  </si>
  <si>
    <t>getters</t>
  </si>
  <si>
    <t>getting</t>
  </si>
  <si>
    <t>gifts</t>
  </si>
  <si>
    <t>giveaways</t>
  </si>
  <si>
    <t>goodreads</t>
  </si>
  <si>
    <t>google</t>
  </si>
  <si>
    <t>gpu</t>
  </si>
  <si>
    <t>graphicdesign</t>
  </si>
  <si>
    <t>gratitude</t>
  </si>
  <si>
    <t>greatread</t>
  </si>
  <si>
    <t>h</t>
  </si>
  <si>
    <t>hardware</t>
  </si>
  <si>
    <t>homesale</t>
  </si>
  <si>
    <t>hosting</t>
  </si>
  <si>
    <t>hotkeys</t>
  </si>
  <si>
    <t>how</t>
  </si>
  <si>
    <t>hue</t>
  </si>
  <si>
    <t>humor</t>
  </si>
  <si>
    <t>i</t>
  </si>
  <si>
    <t>i/article</t>
  </si>
  <si>
    <t>i/article webpage</t>
  </si>
  <si>
    <t>i/book</t>
  </si>
  <si>
    <t>i/github</t>
  </si>
  <si>
    <t>i/infographic</t>
  </si>
  <si>
    <t>i/video</t>
  </si>
  <si>
    <t>i/webpage</t>
  </si>
  <si>
    <t>illness</t>
  </si>
  <si>
    <t>indentation</t>
  </si>
  <si>
    <t>informationtechnology</t>
  </si>
  <si>
    <t>iot</t>
  </si>
  <si>
    <t>ipmc</t>
  </si>
  <si>
    <t>ipv6</t>
  </si>
  <si>
    <t>jackett</t>
  </si>
  <si>
    <t>jetbackup</t>
  </si>
  <si>
    <t>kanbans</t>
  </si>
  <si>
    <t>key</t>
  </si>
  <si>
    <t>knowledge</t>
  </si>
  <si>
    <t>lexical</t>
  </si>
  <si>
    <t>license</t>
  </si>
  <si>
    <t>lidarr</t>
  </si>
  <si>
    <t>lightroom</t>
  </si>
  <si>
    <t>line</t>
  </si>
  <si>
    <t>linode</t>
  </si>
  <si>
    <t>log</t>
  </si>
  <si>
    <t>love</t>
  </si>
  <si>
    <t>maintenance</t>
  </si>
  <si>
    <t>management</t>
  </si>
  <si>
    <t>markdown</t>
  </si>
  <si>
    <t>mavrick</t>
  </si>
  <si>
    <t>mdwebclipper</t>
  </si>
  <si>
    <t>meditations</t>
  </si>
  <si>
    <t>medium</t>
  </si>
  <si>
    <t>misc</t>
  </si>
  <si>
    <t>mist</t>
  </si>
  <si>
    <t>moc</t>
  </si>
  <si>
    <t>module</t>
  </si>
  <si>
    <t>morning</t>
  </si>
  <si>
    <t>navigating</t>
  </si>
  <si>
    <t>new</t>
  </si>
  <si>
    <t>nginx</t>
  </si>
  <si>
    <t>no-dv</t>
  </si>
  <si>
    <t>none</t>
  </si>
  <si>
    <t>note</t>
  </si>
  <si>
    <t>note/🌱️</t>
  </si>
  <si>
    <t>notes</t>
  </si>
  <si>
    <t>notetaking</t>
  </si>
  <si>
    <t>object</t>
  </si>
  <si>
    <t>obsidian</t>
  </si>
  <si>
    <t>office</t>
  </si>
  <si>
    <t>onboarding</t>
  </si>
  <si>
    <t>onenote</t>
  </si>
  <si>
    <t>opportunities</t>
  </si>
  <si>
    <t>organizing</t>
  </si>
  <si>
    <t>osint</t>
  </si>
  <si>
    <t>other</t>
  </si>
  <si>
    <t>override</t>
  </si>
  <si>
    <t>painting</t>
  </si>
  <si>
    <t>people</t>
  </si>
  <si>
    <t>personsdb</t>
  </si>
  <si>
    <t>photoediting</t>
  </si>
  <si>
    <t>photography</t>
  </si>
  <si>
    <t>pillpack</t>
  </si>
  <si>
    <t>pkm</t>
  </si>
  <si>
    <t>plesk</t>
  </si>
  <si>
    <t>plugin</t>
  </si>
  <si>
    <t>plugins</t>
  </si>
  <si>
    <t>poetry</t>
  </si>
  <si>
    <t>politics</t>
  </si>
  <si>
    <t>ports</t>
  </si>
  <si>
    <t>power</t>
  </si>
  <si>
    <t>prayer</t>
  </si>
  <si>
    <t>pretrained</t>
  </si>
  <si>
    <t>price</t>
  </si>
  <si>
    <t>projects</t>
  </si>
  <si>
    <t>properties</t>
  </si>
  <si>
    <t>prowlarr</t>
  </si>
  <si>
    <t>proxy</t>
  </si>
  <si>
    <t>public</t>
  </si>
  <si>
    <t>purchase</t>
  </si>
  <si>
    <t>purchases</t>
  </si>
  <si>
    <t>python</t>
  </si>
  <si>
    <t>qbittorrent</t>
  </si>
  <si>
    <t>query</t>
  </si>
  <si>
    <t>readarr</t>
  </si>
  <si>
    <t>recovery</t>
  </si>
  <si>
    <t>redfishiaven</t>
  </si>
  <si>
    <t>reference</t>
  </si>
  <si>
    <t>references</t>
  </si>
  <si>
    <t>regex</t>
  </si>
  <si>
    <t>repair</t>
  </si>
  <si>
    <t>residences</t>
  </si>
  <si>
    <t>resource/howto</t>
  </si>
  <si>
    <t>reverseproxy</t>
  </si>
  <si>
    <t>reviews</t>
  </si>
  <si>
    <t>reviews/monthly</t>
  </si>
  <si>
    <t>reviews/quarterly</t>
  </si>
  <si>
    <t>reviews/yearly</t>
  </si>
  <si>
    <t>rianews</t>
  </si>
  <si>
    <t>sabnzbd</t>
  </si>
  <si>
    <t>scope</t>
  </si>
  <si>
    <t>scorecard</t>
  </si>
  <si>
    <t>script</t>
  </si>
  <si>
    <t>security</t>
  </si>
  <si>
    <t>seedbox</t>
  </si>
  <si>
    <t>select</t>
  </si>
  <si>
    <t>selectors</t>
  </si>
  <si>
    <t>servarr</t>
  </si>
  <si>
    <t>servers</t>
  </si>
  <si>
    <t>serverwand</t>
  </si>
  <si>
    <t>simple</t>
  </si>
  <si>
    <t>snippets</t>
  </si>
  <si>
    <t>software</t>
  </si>
  <si>
    <t>source/youtube</t>
  </si>
  <si>
    <t>ssl</t>
  </si>
  <si>
    <t>standard</t>
  </si>
  <si>
    <t>start</t>
  </si>
  <si>
    <t>stat</t>
  </si>
  <si>
    <t>steps/10</t>
  </si>
  <si>
    <t>sti</t>
  </si>
  <si>
    <t>strengths</t>
  </si>
  <si>
    <t>stub</t>
  </si>
  <si>
    <t>study</t>
  </si>
  <si>
    <t>stuff</t>
  </si>
  <si>
    <t>subscriptions/magazines</t>
  </si>
  <si>
    <t>subscriptions/memberships</t>
  </si>
  <si>
    <t>swensys</t>
  </si>
  <si>
    <t>system</t>
  </si>
  <si>
    <t>systems</t>
  </si>
  <si>
    <t>tag</t>
  </si>
  <si>
    <t>testnote</t>
  </si>
  <si>
    <t>text</t>
  </si>
  <si>
    <t>that</t>
  </si>
  <si>
    <t>the</t>
  </si>
  <si>
    <t>themes</t>
  </si>
  <si>
    <t>third</t>
  </si>
  <si>
    <t>this</t>
  </si>
  <si>
    <t>thoughts</t>
  </si>
  <si>
    <t>threats</t>
  </si>
  <si>
    <t>through</t>
  </si>
  <si>
    <t>today</t>
  </si>
  <si>
    <t>toolbox</t>
  </si>
  <si>
    <t>torrent</t>
  </si>
  <si>
    <t>torrenting</t>
  </si>
  <si>
    <t>tracker</t>
  </si>
  <si>
    <t>trings</t>
  </si>
  <si>
    <t>type</t>
  </si>
  <si>
    <t>types</t>
  </si>
  <si>
    <t>typing</t>
  </si>
  <si>
    <t>uefi</t>
  </si>
  <si>
    <t>understanding</t>
  </si>
  <si>
    <t>update</t>
  </si>
  <si>
    <t>upon</t>
  </si>
  <si>
    <t>use</t>
  </si>
  <si>
    <t>user</t>
  </si>
  <si>
    <t>v_chk</t>
  </si>
  <si>
    <t>vba</t>
  </si>
  <si>
    <t>view</t>
  </si>
  <si>
    <t>vim</t>
  </si>
  <si>
    <t>virtualmin</t>
  </si>
  <si>
    <t>vpn</t>
  </si>
  <si>
    <t>wallpapers</t>
  </si>
  <si>
    <t>weakenesses</t>
  </si>
  <si>
    <t>web</t>
  </si>
  <si>
    <t>webmin</t>
  </si>
  <si>
    <t>webpage</t>
  </si>
  <si>
    <t>website</t>
  </si>
  <si>
    <t>webuzo</t>
  </si>
  <si>
    <t>what</t>
  </si>
  <si>
    <t>whitespace</t>
  </si>
  <si>
    <t>why</t>
  </si>
  <si>
    <t>windows10</t>
  </si>
  <si>
    <t>windows11</t>
  </si>
  <si>
    <t>windowsapps</t>
  </si>
  <si>
    <t>winhance</t>
  </si>
  <si>
    <t>wireguard</t>
  </si>
  <si>
    <t>word</t>
  </si>
  <si>
    <t>wordpress</t>
  </si>
  <si>
    <t>workflows</t>
  </si>
  <si>
    <t>writing</t>
  </si>
  <si>
    <t>writing/classics</t>
  </si>
  <si>
    <t>writing/inspiration</t>
  </si>
  <si>
    <t>writings</t>
  </si>
  <si>
    <t>writings/bookapplications</t>
  </si>
  <si>
    <t>wwii</t>
  </si>
  <si>
    <t>yesterday</t>
  </si>
  <si>
    <t>your</t>
  </si>
  <si>
    <t>⚒️</t>
  </si>
  <si>
    <t>⚓</t>
  </si>
  <si>
    <t>⚓/&lt;% tp.file.title %&gt;</t>
  </si>
  <si>
    <t>⚓/aa_recovery</t>
  </si>
  <si>
    <t>⚓/cws</t>
  </si>
  <si>
    <t>⚓/family</t>
  </si>
  <si>
    <t>⚓/finances</t>
  </si>
  <si>
    <t>⚓/health</t>
  </si>
  <si>
    <t>⚡</t>
  </si>
  <si>
    <t>👣</t>
  </si>
  <si>
    <t>👨🏻‍🍳</t>
  </si>
  <si>
    <t>💡</t>
  </si>
  <si>
    <t>💭/insights</t>
  </si>
  <si>
    <t>📆</t>
  </si>
  <si>
    <t>📝/🌱️</t>
  </si>
  <si>
    <t>📽️</t>
  </si>
  <si>
    <t>🔍</t>
  </si>
  <si>
    <t>🗺️</t>
  </si>
  <si>
    <t>🤣</t>
  </si>
  <si>
    <t>🦋</t>
  </si>
  <si>
    <t>🦋/aa</t>
  </si>
  <si>
    <t>🦋/art</t>
  </si>
  <si>
    <t>🦋/astronomy</t>
  </si>
  <si>
    <t>🦋/brain2</t>
  </si>
  <si>
    <t>🦋/cheatsheets</t>
  </si>
  <si>
    <t>🦋/coding</t>
  </si>
  <si>
    <t>🦋/computers</t>
  </si>
  <si>
    <t>🦋/cooking</t>
  </si>
  <si>
    <t>🦋/design</t>
  </si>
  <si>
    <t>🦋/finances</t>
  </si>
  <si>
    <t>🦋/genealogy</t>
  </si>
  <si>
    <t>🦋/home</t>
  </si>
  <si>
    <t>🦋/media</t>
  </si>
  <si>
    <t>🦋/music</t>
  </si>
  <si>
    <t>🦋/travel</t>
  </si>
  <si>
    <t>🦋/writing</t>
  </si>
  <si>
    <t>🧾</t>
  </si>
  <si>
    <t>🧾/🟩</t>
  </si>
  <si>
    <t>🦋/Cooking</t>
  </si>
  <si>
    <t>All Files Analysis</t>
  </si>
  <si>
    <t>Notes</t>
  </si>
  <si>
    <t xml:space="preserve">  spcr</t>
  </si>
  <si>
    <t>Inline?</t>
  </si>
  <si>
    <t>CaseDiff</t>
  </si>
  <si>
    <t>ValCount</t>
  </si>
  <si>
    <t>Values (All)</t>
  </si>
  <si>
    <t>2025-02-15</t>
  </si>
  <si>
    <t>tags</t>
  </si>
  <si>
    <t>subscriptions/memberships | 🧾</t>
  </si>
  <si>
    <t>2025-12-31</t>
  </si>
  <si>
    <t>[[📌 My Daily Kanban]] | [[⚡ My Projects]]</t>
  </si>
  <si>
    <t>projects | ⚡</t>
  </si>
  <si>
    <t>casaos | linux | windows</t>
  </si>
  <si>
    <t>i/article | webpage | ipv6 | casaos</t>
  </si>
  <si>
    <t>📝/🟨 | casaos | shell</t>
  </si>
  <si>
    <t>2024-10-02</t>
  </si>
  <si>
    <t>i/article | webpage | casaos | nginx | mdwebclipper</t>
  </si>
  <si>
    <t>casaos | ddns | dns | cloudflare</t>
  </si>
  <si>
    <t>casaos | dns | ssl | nginx</t>
  </si>
  <si>
    <t>[[📌 CasaOS Kanban]] | [[⚡ CasaOS Project]]</t>
  </si>
  <si>
    <t>gpu | casaos</t>
  </si>
  <si>
    <t>casaos | wordpress</t>
  </si>
  <si>
    <t>servarr | sabnzbd | radarr | sonarr | lidarr | prowlarr | readarr | bazarr | jackett</t>
  </si>
  <si>
    <t>2024-12-21</t>
  </si>
  <si>
    <t>casaos | nginx</t>
  </si>
  <si>
    <t>i/article | webpage</t>
  </si>
  <si>
    <t>projects | ⚡ | cws | coding</t>
  </si>
  <si>
    <t>(Inline)</t>
  </si>
  <si>
    <t>casaos | docker | linux | debian | servarr | plex</t>
  </si>
  <si>
    <t>kanbans | casaos</t>
  </si>
  <si>
    <t>[[⚡ Cheatsheets Library]] | [[🗺️ Personal Knowledge Management MOC]]</t>
  </si>
  <si>
    <t>i/article | webpage | obsidian | 🦋/cheatsheets</t>
  </si>
  <si>
    <t>system | frontmatter | command | start | script | types | function | date | systems | dynamic | web | whitespace | user | object | file | functions | obsidian | execution | config</t>
  </si>
  <si>
    <t>2023-12-31</t>
  </si>
  <si>
    <t>coding | markdown | regex</t>
  </si>
  <si>
    <t>None</t>
  </si>
  <si>
    <t>Resource</t>
  </si>
  <si>
    <t>note/🌱️ | python</t>
  </si>
  <si>
    <t>tVersion</t>
  </si>
  <si>
    <t>[[💡 My Brainstorms]] | [[Obsidian Vault Healthcheck v.1]]</t>
  </si>
  <si>
    <t>hue | maintenance</t>
  </si>
  <si>
    <t>[[⚓ Finances]] | [[Homesale Timeline]]</t>
  </si>
  <si>
    <t>🦋/finances | ⚓/finances | homesale</t>
  </si>
  <si>
    <t>📝/🟨 | aa | 🦋/aa | recovery</t>
  </si>
  <si>
    <t>2025-02-06</t>
  </si>
  <si>
    <t>banner-image | wide-page</t>
  </si>
  <si>
    <t>Deadline</t>
  </si>
  <si>
    <t>Links</t>
  </si>
  <si>
    <t>2025-04-03</t>
  </si>
  <si>
    <t>css | obsidian | 🦋/brain2 | i/article | themes | snippets</t>
  </si>
  <si>
    <t>dataview | obsidian | ⚒️ | snippets | study</t>
  </si>
  <si>
    <t>export | save | table | excel | csv</t>
  </si>
  <si>
    <t>markdown | autohotkey</t>
  </si>
  <si>
    <t>code | download | custom | image | front</t>
  </si>
  <si>
    <t>hotkeys | ⚒️ | 🦋/brain2</t>
  </si>
  <si>
    <t>osint | dataview</t>
  </si>
  <si>
    <t>note/🌱️ | ⚒️ | python</t>
  </si>
  <si>
    <t>[[⚡ My Projects]] | [[📌 Obsidian Setup Kanban]] | [[🦋 Brain2]]</t>
  </si>
  <si>
    <t>torrenting | torrent | video | seedbox | qbittorrent</t>
  </si>
  <si>
    <t>TV | Sound | Movies | Plex</t>
  </si>
  <si>
    <t>casaos | media | torrent</t>
  </si>
  <si>
    <t>[[Setup Deluge]] | [[Having Deeper Conversations]]</t>
  </si>
  <si>
    <t>network | ports</t>
  </si>
  <si>
    <t>projects | ⚡ | servarr</t>
  </si>
  <si>
    <t>🗺️ | ⚡</t>
  </si>
  <si>
    <t>2024-02-01</t>
  </si>
  <si>
    <t>⚡ | projects</t>
  </si>
  <si>
    <t>assets/💎sw/productivity | graphicdesign</t>
  </si>
  <si>
    <t>True</t>
  </si>
  <si>
    <t>📝/🟨 | software | hardware | ⚓/cws</t>
  </si>
  <si>
    <t>[[Twelve Steps of AA]] | [[⚡ Recovery Project]] | [[⚓ AA Recovery]]</t>
  </si>
  <si>
    <t>🦋/aa | aa | recovery | poetry</t>
  </si>
  <si>
    <t>[[⚡ Recovery Project]] | [[⚓ AA Recovery]]</t>
  </si>
  <si>
    <t>🦋/aa | aa | recovery | meditations</t>
  </si>
  <si>
    <t>aa | 🦋/aa | recovery</t>
  </si>
  <si>
    <t>daily | third | prayer | upon</t>
  </si>
  <si>
    <t>📝/🟨 | aa | 🦋/aa | recovery | 🦋/writing | writing | poetry</t>
  </si>
  <si>
    <t>[[⚡ Recovery Project]] | [[⚓ AA Recovery]] | [[Daily Prayers]]</t>
  </si>
  <si>
    <t>Twelve Concepts | Twelve Virtues</t>
  </si>
  <si>
    <t>Step One | Step 1</t>
  </si>
  <si>
    <t>[[⚡ Recovery Project]] | [[Twelve Steps of AA]] | [[⚓ AA Recovery]]</t>
  </si>
  <si>
    <t>Twelve Steps | 12 Steps</t>
  </si>
  <si>
    <t>⚓/cws | linux | linode | i/article | webpage</t>
  </si>
  <si>
    <t>understanding | public | command | generate | through</t>
  </si>
  <si>
    <t>linode | cws | coding</t>
  </si>
  <si>
    <t>cws | cloud</t>
  </si>
  <si>
    <t>serverwand | jetbackup | easypanel | plesk | webuzo | virtualmin | references | cyberpanel | scorecard | aapanel | webmin | mist</t>
  </si>
  <si>
    <t>projects | ⚡ | linux | servarr | hosting</t>
  </si>
  <si>
    <t>[[🏠 My Home]] | [[⚡ My Projects]]</t>
  </si>
  <si>
    <t>[[Vault Features]] | [[📚 Johns Building a Second Brain]] | [[John's Second Brain Subvault]] | [[Vault Overview]] | [[📥 Konik Method for Making Useful Notes]]</t>
  </si>
  <si>
    <t>recovery | aa | steps/10</t>
  </si>
  <si>
    <t>body_tag | onenote</t>
  </si>
  <si>
    <t>comments | genesis | h | feastmobilemenu</t>
  </si>
  <si>
    <t>100</t>
  </si>
  <si>
    <t>2025-01-15</t>
  </si>
  <si>
    <t>⚓/aa_recovery | 💡/🟨 | writing | aa/service</t>
  </si>
  <si>
    <t>[[⚓ My Areas]] | [[⚡ Recovery Project]] | [[📌 Recovery Kanban]]</t>
  </si>
  <si>
    <t>⚓ | ⚓/aa_recovery | area | aa</t>
  </si>
  <si>
    <t>excel | vba | personsdb</t>
  </si>
  <si>
    <t>⚓ | ⚓/cws | area</t>
  </si>
  <si>
    <t>⚓ | ⚓/family | area</t>
  </si>
  <si>
    <t>⚓ | ⚓/finances | area</t>
  </si>
  <si>
    <t>📝/🟨 | ⚓/health</t>
  </si>
  <si>
    <t>📝/🟩 | ⚓/health</t>
  </si>
  <si>
    <t>⚓ | ⚓/health | area</t>
  </si>
  <si>
    <t>dNoteDate</t>
  </si>
  <si>
    <t>📆 | dailynote</t>
  </si>
  <si>
    <t>art hacks | art studio | art studio ideas | art studio makeover | art studio setup | art studio tour | art tips | art vlog | ikea hacks | life hacks | watercolor workspace</t>
  </si>
  <si>
    <t>2023-03-17</t>
  </si>
  <si>
    <t>2023-09-26</t>
  </si>
  <si>
    <t>i/video | 👨🏻‍🍳</t>
  </si>
  <si>
    <t>3.87 Hours of FREE Windows Utilities EVERY User MUST Know About! | free windows software | best free windows software | best free windows utilities | windows 10 | windows 11 | how to optimize windows 11 | how to optimize windows 10 | debloat windows 11 | debloat windows 10 | customize windows 10 | customize windows 11 | custom mouse cursor for windows | make sound louder on windows 11 | make audio louder on windows 10 | top windows apps | windows utility | mirror android screen on pc</t>
  </si>
  <si>
    <t>2024-11-29 02:56:10</t>
  </si>
  <si>
    <t>2025-02-12</t>
  </si>
  <si>
    <t>windows | 📥/🟨 | ★★★★★</t>
  </si>
  <si>
    <t>windowsapps | windows10 | windows11</t>
  </si>
  <si>
    <t>scrumdiddlyumptious | scrumdiddlyumptious recipes | recipe | food | cooking | baking | meal | meal prep | meal plan | easy recipe | food recipe | trending | healthy food | healthy recipes | breakfast | breakfast ideas | lunch | lunch ideas | dinner ideas | dinner recipes | dessert | dessert recipes | snack | youtube | facebook | tiktok | instagram | cookbook | recipes for dinner</t>
  </si>
  <si>
    <t>2023-01-16</t>
  </si>
  <si>
    <t>2023-02-01</t>
  </si>
  <si>
    <t>2022-12-28 06:00:06</t>
  </si>
  <si>
    <t>2024-04-13</t>
  </si>
  <si>
    <t>holiday snacks | holiday snack | holiday recipes | recipes for the holidays | delicious snacks | simple snacks | snacks recipes | appetizer | appetizers | snack | recipe | tasty | webspoon world | delicious | fish snacks | herring fillet | potato | cheese baskets | cheese cups | buffet snacks | holiday food</t>
  </si>
  <si>
    <t>2020-12-20</t>
  </si>
  <si>
    <t>2023-02-11</t>
  </si>
  <si>
    <t>recipes | tasty | webspoon World | webspoonWorld | delisious | recipe | cooking show | easy recipes | new recipes | quick recipes | webspoon world recipes | dinner | dinner ideas | beef pasta | how to cook pasta | mac and cheese | mac and cheese recipes | pasta | pasta recipes | pasta recipes easy | pasta recipes at home | lasagna | beef sausages pasta bake | macaroni | macaroni recipes | how to cook macaroni | how to make mak and cheese | beef pasta for dinner | italian recipes | easy dinner in oven | beef | food</t>
  </si>
  <si>
    <t>2023-01-15</t>
  </si>
  <si>
    <t>2023-02-10</t>
  </si>
  <si>
    <t>tags:</t>
  </si>
  <si>
    <t>i/video | 🦋/Cooking</t>
  </si>
  <si>
    <t>adobe illustrator | illustrator tutorial | flat design | blend tool illustrator | blend tool illustrator tutorial | shadows in illustrator | design bundles | adobe illustrator cc | adobe illustrator tutorial | illustrator | making shadows in illustrator | adobe illustrator for beginners | blend tool tutorial illustrator | how to use the blend tool in illustrator | blend tool text illustrator</t>
  </si>
  <si>
    <t>2020-07-12</t>
  </si>
  <si>
    <t>2023-03-14</t>
  </si>
  <si>
    <t>adobeillustrator | blendtool</t>
  </si>
  <si>
    <t>adobe lightroom | lightroom tutorial | how to use lightroom | adobe lightroom tutorial | lightroom for beginners | how to edit in lightroom | lightroom tutorials for beginners | lightroom for beginners 2022 | lightroom tutorial for beginners 2022 | how to edit in lightroom 2022 | free lightroom course | free lightroom course 2022 | free adobe lightroom course | free adobe lightroom course 2022 | adobe lightroom tips and tricks 2022 | lightroom editing tutorial 2022 | lightroom tips and tricks</t>
  </si>
  <si>
    <t>2022-12-05</t>
  </si>
  <si>
    <t>2023-02-04</t>
  </si>
  <si>
    <t>photoediting | i | lightroom | adobelightroom</t>
  </si>
  <si>
    <t>hiding wires for wall mounted tv | hiding wires behind wall | hiding wires on desk | hiding wires in wall for tv | hiding wires on wall | hiding wires for surround sound speakers | hiding led strip lights | hiding led strip power supply | hiding led strip wires | hiding led lights | hiding led wires | hiding led strips | wire management | wire management gaming | wire management gaming setup | feeding wires through wall | feed wires behind drywall | wires behind wall | wires behind drywall</t>
  </si>
  <si>
    <t>2023-08-24 05:14:00</t>
  </si>
  <si>
    <t>adobe illustrator tutorial | adobe illustrator | blend tool adobe illustrator | abstract background | vector tutorial</t>
  </si>
  <si>
    <t>2021-06-13</t>
  </si>
  <si>
    <t>2023-03-13</t>
  </si>
  <si>
    <t>I Made an App that KEEPS Windows 11 Debloated &amp; Optimized | Winhance Utility</t>
  </si>
  <si>
    <t>windows 11 | debloat windows 11 | windows 11 debloat | windows 11 debloater | windows 11 features | how to debloat windows 11 | make windows 11 faster | windows 11 tips | windows 10 | windows 11 bloatware | windows 11 optimization | speed up windows 11 | debloat windows 11 with ease | how to speed up windows 11 | debloating windows 11 | windows 11 debloat guide | how to install windows 11 | remove bloatware windows 11 | windows 11 update | windows 11 lite | windows | optimize windows 11</t>
  </si>
  <si>
    <t>2025-02-07 03:15:00</t>
  </si>
  <si>
    <t>📥/🟨 | ★★★★★ | ⚓/cws | assets/💎hw/swends</t>
  </si>
  <si>
    <t>winhance | windows10 | windows11</t>
  </si>
  <si>
    <t>tech review | new tech | technology | run the joules | diy desk build | desk for photography | desk for video editing | desk for audio | desk tour | minimal desk setup | minimalist desk setup</t>
  </si>
  <si>
    <t>2022-03-12 05:30:01</t>
  </si>
  <si>
    <t>chicken diane | diane sauce | steak diane</t>
  </si>
  <si>
    <t>[[🦋 Cooking]] | [[🗺️ Cooking MOC]]</t>
  </si>
  <si>
    <t>2023-03-02</t>
  </si>
  <si>
    <t>2023-03-10</t>
  </si>
  <si>
    <t>video | sharing | camera phone | video phone | free | upload</t>
  </si>
  <si>
    <t>2023-08-09 04:00:45</t>
  </si>
  <si>
    <t>streaming | service | apple tv | plus | disney | netflix | hulu | amazon prime | video | tv | movies | hollywood | television | jellyfin | plex | nas | freenas | truenas | asustor | qnap | storage | network | attached | deal | ads | revenue | ux | terrible | mobile | watch | online | anywhere | media | fight | back | backup | synology | netgear | rip | handbrake | makemkv | mkv | matroska | file | sharing | piracy | pirate | radarr | sonarr | h.264 | h.265 | 4k | uhd | ripping | tutorial | how-to | process | vlc | red shirt jeff</t>
  </si>
  <si>
    <t>2022-10-13 08:30:04</t>
  </si>
  <si>
    <t>2024-11-06</t>
  </si>
  <si>
    <t>2022-04-28 14:23:44</t>
  </si>
  <si>
    <t>2024-05-13</t>
  </si>
  <si>
    <t>George Washington | John Adams | Thomas Jefferson | James Madison | Presidents | Founding Fathers | American Revolution | Biography | History | Historical | Educational | The People Profiles | biography channel | biography a&amp;e | biography | bio | history | life story | documentary | documentaries</t>
  </si>
  <si>
    <t>2023-06-02</t>
  </si>
  <si>
    <t>2023-09-25</t>
  </si>
  <si>
    <t>history | i/video</t>
  </si>
  <si>
    <t>biography | documentary | history</t>
  </si>
  <si>
    <t>Windows 10 and 11 Wont Boot | How To Fix UEFI Partition</t>
  </si>
  <si>
    <t>2024-12-07</t>
  </si>
  <si>
    <t>fix UEFI boot windows 10 | fix UEFI boot windows 11 | fix windows gpt boot | fix uefi boot | corrupted uefi partition</t>
  </si>
  <si>
    <t>2023-05-08 07:00:08</t>
  </si>
  <si>
    <t>i/video | hardware | bios | repair | fix | broken | uefi</t>
  </si>
  <si>
    <t>bookmarksgroups</t>
  </si>
  <si>
    <t>bookmarksGroups</t>
  </si>
  <si>
    <t>(-None-)</t>
  </si>
  <si>
    <t>excludes</t>
  </si>
  <si>
    <t>extends</t>
  </si>
  <si>
    <t>favoriteview</t>
  </si>
  <si>
    <t>favoriteView</t>
  </si>
  <si>
    <t>fields/command/icon</t>
  </si>
  <si>
    <t>list-plus | list-plus</t>
  </si>
  <si>
    <t>fields/command/id</t>
  </si>
  <si>
    <t>insert__i__Rating | insert__presetField__keywords</t>
  </si>
  <si>
    <t>fields/command/label</t>
  </si>
  <si>
    <t>Insert Rating field | Insert keywords field</t>
  </si>
  <si>
    <t>fields/id</t>
  </si>
  <si>
    <t>owkM6J | JGrHWg | ZoYT5s | 6P4xET | DhLiFU | oBLLX0 | yRIi0U | YrKkWD | l0IvzD | qoF3ck | w1F7ZS | WoPnCN | 4GD3jK | 7pg2LV</t>
  </si>
  <si>
    <t>fields/name</t>
  </si>
  <si>
    <t>Status | Rating | started | finished | author | source | keywords | id | title | url | channel | duration | thumbnail | published</t>
  </si>
  <si>
    <t>fields/options</t>
  </si>
  <si>
    <t>(-None-) | (-None-)</t>
  </si>
  <si>
    <t>fields/options/dateformat</t>
  </si>
  <si>
    <t>dateFormat</t>
  </si>
  <si>
    <t>YYYY-MM-DD | YYYY-MM-DD | YYYY-MM-DD</t>
  </si>
  <si>
    <t>fields/options/defaultinsertaslink</t>
  </si>
  <si>
    <t>defaultInsertAsLink</t>
  </si>
  <si>
    <t>false | false | false</t>
  </si>
  <si>
    <t>fields/options/sourcetype</t>
  </si>
  <si>
    <t>sourceType</t>
  </si>
  <si>
    <t>ValuesList | ValuesList | ValuesList</t>
  </si>
  <si>
    <t>fields/options/valuesfromdvquery</t>
  </si>
  <si>
    <t>valuesFromDVQuery</t>
  </si>
  <si>
    <t>(-None-) | (-None-) | (-None-)</t>
  </si>
  <si>
    <t>fields/options/valueslist/1</t>
  </si>
  <si>
    <t>#📥/🟥 | #⭐</t>
  </si>
  <si>
    <t>fields/options/valueslist/2</t>
  </si>
  <si>
    <t>#📥/🟧 | #⭐⭐</t>
  </si>
  <si>
    <t>fields/options/valueslist/3</t>
  </si>
  <si>
    <t>#📥/🟨 | #⭐⭐⭐</t>
  </si>
  <si>
    <t>fields/options/valueslist/4</t>
  </si>
  <si>
    <t>#📥/🟩 | #⭐⭐⭐⭐</t>
  </si>
  <si>
    <t>fields/options/valueslist/5</t>
  </si>
  <si>
    <t>#⭐⭐⭐⭐⭐</t>
  </si>
  <si>
    <t>fields/options/valueslistnotepath</t>
  </si>
  <si>
    <t>valuesListNotePath</t>
  </si>
  <si>
    <t>fields/path</t>
  </si>
  <si>
    <t>(-None-) | (-None-) | (-None-) | (-None-) | (-None-) | (-None-) | (-None-) | (-None-) | (-None-) | (-None-) | (-None-) | (-None-) | (-None-) | (-None-)</t>
  </si>
  <si>
    <t>fields/type</t>
  </si>
  <si>
    <t>Select | Select | Date | Date | Input | Input | Cycle | Input | Input | Input | Input | Input | Input | Date</t>
  </si>
  <si>
    <t>fieldsorder</t>
  </si>
  <si>
    <t>fieldsOrder</t>
  </si>
  <si>
    <t>7pg2LV | 4GD3jK | WoPnCN | w1F7ZS | qoF3ck | l0IvzD | YrKkWD | yRIi0U | oBLLX0 | DhLiFU | 6P4xET | ZoYT5s | JGrHWg | owkM6J</t>
  </si>
  <si>
    <t>filespaths</t>
  </si>
  <si>
    <t>filesPaths</t>
  </si>
  <si>
    <t>mapWithTag</t>
  </si>
  <si>
    <t>savedviews</t>
  </si>
  <si>
    <t>savedViews</t>
  </si>
  <si>
    <t>tagnames</t>
  </si>
  <si>
    <t>tagNames</t>
  </si>
  <si>
    <t>version</t>
  </si>
  <si>
    <t>2.1</t>
  </si>
  <si>
    <t>insert__i__rating | insert__presetField__keywords</t>
  </si>
  <si>
    <t>Insert rating field | Insert keywords field</t>
  </si>
  <si>
    <t>MixyBr | 7D91xU | dP5gb0 | ADpamK | ooiGeP | y3lFnd | AP39NJ | HDiGHz | OFVjIU | 1iDDLb</t>
  </si>
  <si>
    <t>Status | Tags | rating | started | finished | author | source | keywords | id | Title</t>
  </si>
  <si>
    <t>YYYY-MM-DD | YYYY-MM-DD</t>
  </si>
  <si>
    <t>false | false</t>
  </si>
  <si>
    <t>ValuesList | ValuesList | ValuesList | ValuesList</t>
  </si>
  <si>
    <t>(-None-) | (-None-) | (-None-) | (-None-)</t>
  </si>
  <si>
    <t>#📥/🟥 | #i/article | #⭐</t>
  </si>
  <si>
    <t>#📥/🟧 | #i/tweet | #⭐⭐</t>
  </si>
  <si>
    <t>#📥/🟨 | #i/podcast | #⭐⭐⭐</t>
  </si>
  <si>
    <t>#📥/🟩 | #i/video | #⭐⭐⭐⭐</t>
  </si>
  <si>
    <t>(-None-) | (-None-) | (-None-) | (-None-) | (-None-) | (-None-) | (-None-) | (-None-) | (-None-) | (-None-)</t>
  </si>
  <si>
    <t>Select | Select | Select | Date | Date | Input | Input | Cycle | Input | Input</t>
  </si>
  <si>
    <t>2.0</t>
  </si>
  <si>
    <t>yqBdys | VDYyq3 | tCmWy0 | 4Vv29H | Bkmv95 | DDzMQm | 0jxMq1 | xTj7hi | z29MEs | RFvcoo | 7atvRP | roMfuT | 1asDin | wZRfvj | wF9EF9 | yF6uuo | m61K8C | ZjoLDC | l5HKn0 | gHBE7a | CRvpSO | UuakMc | KEoT7l | k7c7JF | Suf8ty | qSt4B9 | AaCybQ | okkyVd | oGfmEY | OHgNZt</t>
  </si>
  <si>
    <t>p_busEmail | p_busName | p_homeAddr | p_uidX | p_uidLI | p_uidIG | p_uidFB | p_uidFreqs | p_contactEmail | p_contactSMS | p_contactPhone | p_Interests | p_Hotbuttons | p_Ethnicity | p_HangsWith | p_Desc | p_NameKnownAs | p_MaritalStatus | p_Partner | p_NameLast | p_NameMiddle | p_NameLastInitial | p_NameFirst | p_NameFull | p_Pic | p_Type | p_Gender | p_Politics | p_DOS | p_DOB</t>
  </si>
  <si>
    <t>fields/options/dateshiftinterval</t>
  </si>
  <si>
    <t>dateShiftInterval</t>
  </si>
  <si>
    <t>1 day | 1 day</t>
  </si>
  <si>
    <t>False | False</t>
  </si>
  <si>
    <t>fields/options/display</t>
  </si>
  <si>
    <t>card</t>
  </si>
  <si>
    <t>fields/options/embed</t>
  </si>
  <si>
    <t>False</t>
  </si>
  <si>
    <t>fields/options/folders</t>
  </si>
  <si>
    <t>(-None-) | Peeps/_idPhotos</t>
  </si>
  <si>
    <t>fields/options/linkpath</t>
  </si>
  <si>
    <t>linkPath</t>
  </si>
  <si>
    <t>ValuesListNotePath | ValuesList | ValuesListNotePath</t>
  </si>
  <si>
    <t>fields/options/thumbnailsize</t>
  </si>
  <si>
    <t>thumbnailSize</t>
  </si>
  <si>
    <t>Female</t>
  </si>
  <si>
    <t>Male</t>
  </si>
  <si>
    <t>Business</t>
  </si>
  <si>
    <t>lov_personTypes.md | lov_Politics.md</t>
  </si>
  <si>
    <t>(-None-) | (-None-) | (-None-) | (-None-) | (-None-) | (-None-) | (-None-) | (-None-) | (-None-) | (-None-) | (-None-) | (-None-) | (-None-) | (-None-) | (-None-) | (-None-) | (-None-) | (-None-) | (-None-) | (-None-) | (-None-) | (-None-) | (-None-) | (-None-) | (-None-) | (-None-) | (-None-) | (-None-) | (-None-) | (-None-)</t>
  </si>
  <si>
    <t>fields/style/bold</t>
  </si>
  <si>
    <t>Input | Input | Input | Input | Input | Input | Input | Input | Input | Input | Input | Input | Input | Input | Input | Input | Input | Input | Input | Input | Input | Input | Input | Input | Media | Multi | Select | Multi | Date | Date</t>
  </si>
  <si>
    <t>Suf8ty | m61K8C | OHgNZt | oGfmEY | okkyVd | qSt4B9 | yF6uuo | 7atvRP | z29MEs | 0jxMq1 | tCmWy0 | gHBE7a | k7c7JF | CRvpSO | UuakMc | KEoT7l | AaCybQ | ZjoLDC | l5HKn0 | wF9EF9 | wZRfvj | 1asDin | roMfuT | RFvcoo | xTj7hi | DDzMQm | Bkmv95 | 4Vv29H | VDYyq3 | yqBdys</t>
  </si>
  <si>
    <t>Peeps</t>
  </si>
  <si>
    <t>package</t>
  </si>
  <si>
    <t>20</t>
  </si>
  <si>
    <t>savedviews/children</t>
  </si>
  <si>
    <t>savedviews/columns/hidden</t>
  </si>
  <si>
    <t>False | False | False | False | False | False | False | False | False | False | False | False | False | False | False | False | False | False | False | False | False | False | False | False | False | False | False | False | False | False | False | False | False</t>
  </si>
  <si>
    <t>savedviews/columns/id</t>
  </si>
  <si>
    <t>peeps____file | peeps____p_Pic | peeps____p_NameKnownAs | peeps____p_DOB | peeps____p_DOS | peeps____p_Politics | peeps____p_Type | peeps____p_Desc | peeps____p_contactPhone | peeps____p_contactEmail | peeps____p_uidFB | peeps____p_Partner | peeps____p_homeAddr | peeps____p_NameLast | peeps____p_NameFull | peeps____p_NameMiddle | peeps____p_NameLastInitial | peeps____p_NameFirst | peeps____p_Gender | peeps____p_MaritalStatus | peeps____p_HangsWith | peeps____p_Ethnicity | peeps____p_Hotbuttons | peeps____p_Interests | peeps____p_contactSMS | peeps____p_uidFreqs | peeps____p_uidIG | peeps____p_uidLI | peeps____p_uidX | peeps____p_busName | peeps____p_busEmail | peeps____p_edSchoolname | peeps____p_edMajor</t>
  </si>
  <si>
    <t>savedviews/columns/name</t>
  </si>
  <si>
    <t>file | p_Pic | p_NameKnownAs | p_DOB | p_DOS | p_Politics | p_Type | p_Desc | p_contactPhone | p_contactEmail | p_uidFB | p_Partner | p_homeAddr | p_NameLast | p_NameFull | p_NameMiddle | p_NameLastInitial | p_NameFirst | p_Gender | p_MaritalStatus | p_HangsWith | p_Ethnicity | p_Hotbuttons | p_Interests | p_contactSMS | p_uidFreqs | p_uidIG | p_uidLI | p_uidX | p_busName | p_busEmail | p_edSchoolname | p_edMajor</t>
  </si>
  <si>
    <t>savedviews/columns/position</t>
  </si>
  <si>
    <t>0 | 1 | 2 | 3 | 4 | 5 | 6 | 7 | 8 | 9 | 10 | 11 | 12 | 13 | 14 | 15 | 16 | 17 | 18 | 19 | 20 | 21 | 22 | 23 | 24 | 25 | 26 | 27 | 28 | 29 | 30 | 31 | 32</t>
  </si>
  <si>
    <t>savedviews/filters/id</t>
  </si>
  <si>
    <t>savedviews/filters/name</t>
  </si>
  <si>
    <t>savedviews/filters/query</t>
  </si>
  <si>
    <t>(-None-) | (-None-) | (-None-) | (-None-) | (-None-) | (-None-) | (-None-) | (-None-) | (-None-) | (-None-) | (-None-) | (-None-) | (-None-) | (-None-) | (-None-) | (-None-) | (-None-) | (-None-) | (-None-) | (-None-) | (-None-) | (-None-) | (-None-) | (-None-) | (-None-) | (-None-) | (-None-) | (-None-) | (-None-) | (-None-) | (-None-) | (-None-) | (-None-)</t>
  </si>
  <si>
    <t>savedviews/name</t>
  </si>
  <si>
    <t>Quick</t>
  </si>
  <si>
    <t>savedviews/sorters</t>
  </si>
  <si>
    <t>2.230</t>
  </si>
  <si>
    <t>y1KYUv | tdhh5f | kZC0hF | VtFhe8 | UwlgO8 | 9fPP20 | W0NZX5 | oE9ASH | NzYqCw | kw3vDf</t>
  </si>
  <si>
    <t>bioType | bioLiving | bioNameFirst | bioNameLast | bioNameMaiden | bioDesc | bioGender | bioMaritalStatus | bioLGBTQPlus | bioSunSign</t>
  </si>
  <si>
    <t>ValuesListNotePath | ValuesList | ValuesList | ValuesList | ValuesListNotePath</t>
  </si>
  <si>
    <t>Male | Single | Gay/Lesbian/Bi</t>
  </si>
  <si>
    <t>fields/options/valueslist/10</t>
  </si>
  <si>
    <t>Xmas</t>
  </si>
  <si>
    <t>fields/options/valueslist/11</t>
  </si>
  <si>
    <t>Reference</t>
  </si>
  <si>
    <t>fields/options/valueslist/12</t>
  </si>
  <si>
    <t>POI</t>
  </si>
  <si>
    <t>AA | Female | Married | Trans</t>
  </si>
  <si>
    <t>Acquaintance | Divorced | Unknown</t>
  </si>
  <si>
    <t>Friend | Widowed | (-None-)</t>
  </si>
  <si>
    <t>Family | It's Complicated</t>
  </si>
  <si>
    <t>fields/options/valueslist/6</t>
  </si>
  <si>
    <t>FamilyExtended | Living with someone</t>
  </si>
  <si>
    <t>fields/options/valueslist/7</t>
  </si>
  <si>
    <t>FamilyRelated</t>
  </si>
  <si>
    <t>fields/options/valueslist/8</t>
  </si>
  <si>
    <t>Medical</t>
  </si>
  <si>
    <t>fields/options/valueslist/9</t>
  </si>
  <si>
    <t>Vendor</t>
  </si>
  <si>
    <t>lov_personTypes.md | lov_SunSigns.md</t>
  </si>
  <si>
    <t>Multi | Boolean | Input | Input | Input | Input | Select | Select | Select | Select</t>
  </si>
  <si>
    <t>kw3vDf | NzYqCw | oE9ASH | W0NZX5 | 9fPP20 | UwlgO8 | VtFhe8 | kZC0hF | tdhh5f | y1KYUv</t>
  </si>
  <si>
    <t>People</t>
  </si>
  <si>
    <t>2.34</t>
  </si>
  <si>
    <t>[[Vault Features]] | [[📚 Johns Building a Second Brain]] | [[_start_here]] | [[Vault Overview]]</t>
  </si>
  <si>
    <t>obsidian | notetaking</t>
  </si>
  <si>
    <t>kindle-sync/asin</t>
  </si>
  <si>
    <t>B004TQI76U</t>
  </si>
  <si>
    <t>kindle-sync/author</t>
  </si>
  <si>
    <t>John Charles Van Dyke</t>
  </si>
  <si>
    <t>kindle-sync/bookid</t>
  </si>
  <si>
    <t>bookId</t>
  </si>
  <si>
    <t>60963</t>
  </si>
  <si>
    <t>kindle-sync/bookimageurl</t>
  </si>
  <si>
    <t>bookImageUrl</t>
  </si>
  <si>
    <t>https://m.media-amazon.com/images/I/81JCgjWu2DL._SY160.jpg</t>
  </si>
  <si>
    <t>kindle-sync/highlightscount</t>
  </si>
  <si>
    <t>highlightsCount</t>
  </si>
  <si>
    <t>1</t>
  </si>
  <si>
    <t>kindle-sync/lastannotateddate</t>
  </si>
  <si>
    <t>lastAnnotatedDate</t>
  </si>
  <si>
    <t>2015-05-31</t>
  </si>
  <si>
    <t>kindle-sync/title</t>
  </si>
  <si>
    <t>A Text-Book of the History of Painting</t>
  </si>
  <si>
    <t>B09LVVN9L3</t>
  </si>
  <si>
    <t>Tiago Forte</t>
  </si>
  <si>
    <t>10324</t>
  </si>
  <si>
    <t>https://m.media-amazon.com/images/I/71+IDmZU88L._SY160.jpg</t>
  </si>
  <si>
    <t>55</t>
  </si>
  <si>
    <t>2023-02-25</t>
  </si>
  <si>
    <t>Building a Second Brain: A Proven Method to Organize Your Digital Life and Unlock Your Creative Potential</t>
  </si>
  <si>
    <t>2024-09-24</t>
  </si>
  <si>
    <t>B01M7UGQ89</t>
  </si>
  <si>
    <t>Alton Hardin</t>
  </si>
  <si>
    <t>19016</t>
  </si>
  <si>
    <t>https://m.media-amazon.com/images/I/81Pae1sRH0L._SY160.jpg</t>
  </si>
  <si>
    <t>2</t>
  </si>
  <si>
    <t>2018-02-01</t>
  </si>
  <si>
    <t>Essential Poker Math, Expanded Edition: Fundamental No Limit Hold'em Mathematics You Need To Know</t>
  </si>
  <si>
    <t>B000JQUQBI</t>
  </si>
  <si>
    <t>Henry Ketcham</t>
  </si>
  <si>
    <t>18682</t>
  </si>
  <si>
    <t>https://m.media-amazon.com/images/I/910K8b270lL._SY160.jpg</t>
  </si>
  <si>
    <t>The Life of Abraham Lincoln</t>
  </si>
  <si>
    <t>B004AM5IJW</t>
  </si>
  <si>
    <t>Tsh Oxenreider and Jacqueline Musser</t>
  </si>
  <si>
    <t>49584</t>
  </si>
  <si>
    <t>https://m.media-amazon.com/images/I/71w6WIA1j6L._SY160.jpg</t>
  </si>
  <si>
    <t>19</t>
  </si>
  <si>
    <t>2023-01-28</t>
  </si>
  <si>
    <t>Organized Simplicity: The Clutter-Free Approach to Intentional Living</t>
  </si>
  <si>
    <t>[[Politics MOC]] | [[2023-W02]]</t>
  </si>
  <si>
    <t>history | politics | humor</t>
  </si>
  <si>
    <t>2023-02-21</t>
  </si>
  <si>
    <t>realtor | questions | soldnest | selling</t>
  </si>
  <si>
    <t>conclusion | frequently | key</t>
  </si>
  <si>
    <t>webpage | study</t>
  </si>
  <si>
    <t>stuff | your | this | the | pretrained | easiest | example | about | getting | how | why | what</t>
  </si>
  <si>
    <t>Audio | Communications | Component | Disc | Disk | DisplayPort | DVI | Electronics | eSATA | FireWire | Hardware | HDMI | Keyboard | Midi | Mouse | Network | Power | RCA | Storage | S-Video | USB | VGA | Video</t>
  </si>
  <si>
    <t>[[⚡ CasaOS Project]] | [[Make a USB CasaOS Recovery Drive]]</t>
  </si>
  <si>
    <t>🦋/cheatsheets | 🦋/coding | i/article | i/infographic | reference | hardware</t>
  </si>
  <si>
    <t>webpage | mdwebclipper</t>
  </si>
  <si>
    <t>i/webpage | python</t>
  </si>
  <si>
    <t>i/webpage | writing</t>
  </si>
  <si>
    <t>i/webpage | python | study</t>
  </si>
  <si>
    <t>typing | lexical | power | properties | indentation | override | module | from | getters | annotated | stub | trings | line | the | other | type | generics | doc</t>
  </si>
  <si>
    <t>meditation | breathing | relaxation</t>
  </si>
  <si>
    <t>webpage | i/article | iot | resource/howto | 🦋/home | 📥/🟨</t>
  </si>
  <si>
    <t>be | use | download</t>
  </si>
  <si>
    <t>[[https://iamalexmathers.medium.com/how-to-create-so-much-they-cant-ignore-you-c961ee5a23f3|Source article]] | [[🦋 Art]]</t>
  </si>
  <si>
    <t>i/webpage | 🦋/art | i/article | art</t>
  </si>
  <si>
    <t>🦋 | 🦋/art | resource</t>
  </si>
  <si>
    <t>🦋 | 🦋/astronomy | resource</t>
  </si>
  <si>
    <t>Blooms Taxonomy | Higher Order Thinking</t>
  </si>
  <si>
    <t>None | education | thinking | learning</t>
  </si>
  <si>
    <t>person | new | stat</t>
  </si>
  <si>
    <t>🦋/brain2 | i/article | dataview</t>
  </si>
  <si>
    <t>2024-07-30</t>
  </si>
  <si>
    <t>dataview | obsidian | ⚒️</t>
  </si>
  <si>
    <t>youtube | source/youtube | 📽️</t>
  </si>
  <si>
    <t>MCC | Multi-Column | CSS | Layouts</t>
  </si>
  <si>
    <t>css | obsidian</t>
  </si>
  <si>
    <t>📝/🌱️ | 🦋/brain2 | notetaking | ⚒️</t>
  </si>
  <si>
    <t>🦋/brain2 | ⚒️ | ★★★☆☆</t>
  </si>
  <si>
    <t>tag | goodreads | greatread | new | stat | person | people</t>
  </si>
  <si>
    <t>checklist | python</t>
  </si>
  <si>
    <t>⚒️ | 🦋/brain2 | no-dv</t>
  </si>
  <si>
    <t>thoughts | assets | i</t>
  </si>
  <si>
    <t>⚒️ | ★★★★☆</t>
  </si>
  <si>
    <t>🗺️ | resource</t>
  </si>
  <si>
    <t>🦋 | 🦋/brain2 | resource</t>
  </si>
  <si>
    <t>chrome | hotkeys</t>
  </si>
  <si>
    <t>🦋 | 🦋/cheatsheets | resource</t>
  </si>
  <si>
    <t>note/🌱️ | osint</t>
  </si>
  <si>
    <t>linux | casaos | study</t>
  </si>
  <si>
    <t>how | i | obsidian</t>
  </si>
  <si>
    <t>🦋 | 🦋/coding | resource</t>
  </si>
  <si>
    <t>📝/🟨 | windows | fix</t>
  </si>
  <si>
    <t>computers | windows</t>
  </si>
  <si>
    <t>select | that</t>
  </si>
  <si>
    <t>🦋 | 🦋/computers | resource</t>
  </si>
  <si>
    <t>🦋/cooking | drinks</t>
  </si>
  <si>
    <t>🦋 | 🦋/cooking | resource</t>
  </si>
  <si>
    <t>🦋 | 🦋/design | resource</t>
  </si>
  <si>
    <t>🦋 | 🦋/genealogy | resource</t>
  </si>
  <si>
    <t>🧾/🟩 | assets/💎cars</t>
  </si>
  <si>
    <t>resource | 🦋/home</t>
  </si>
  <si>
    <t>🦋 | 🦋/media | resource</t>
  </si>
  <si>
    <t>🦋 | 🦋/music | resource</t>
  </si>
  <si>
    <t>🗺️ | ⚓</t>
  </si>
  <si>
    <t>🦋/travel | 🦋 | resource</t>
  </si>
  <si>
    <t>resource | 🦋 | 🦋/writing</t>
  </si>
  <si>
    <t>📝/🟨 | reviews | christmas | movies</t>
  </si>
  <si>
    <t>dailynote | sti | ⚓/cws</t>
  </si>
  <si>
    <t>2023-09-18</t>
  </si>
  <si>
    <t>2024-12-23</t>
  </si>
  <si>
    <t>threats | weakenesses | today | morning | log | yesterday | gratitude | strengths | opportunities | backlog</t>
  </si>
  <si>
    <t>vdate</t>
  </si>
  <si>
    <t>2025-02-04</t>
  </si>
  <si>
    <t>2025-02-05</t>
  </si>
  <si>
    <t>2025-02-07</t>
  </si>
  <si>
    <t>2025-02-08</t>
  </si>
  <si>
    <t>2025-02-09</t>
  </si>
  <si>
    <t>2025-02-11</t>
  </si>
  <si>
    <t>2025-02-13</t>
  </si>
  <si>
    <t>2025-02-14</t>
  </si>
  <si>
    <t>2025-02-16</t>
  </si>
  <si>
    <t>2025-02-17</t>
  </si>
  <si>
    <t>2025-02-18</t>
  </si>
  <si>
    <t>2025-02-19</t>
  </si>
  <si>
    <t>2025-02-20</t>
  </si>
  <si>
    <t>2025-02-22</t>
  </si>
  <si>
    <t>wide-page | banner-image</t>
  </si>
  <si>
    <t>2025-02-23</t>
  </si>
  <si>
    <t>2025-02-24</t>
  </si>
  <si>
    <t>2025-02-25</t>
  </si>
  <si>
    <t>2025-02-26</t>
  </si>
  <si>
    <t>2025-02-27</t>
  </si>
  <si>
    <t>2025-03-01</t>
  </si>
  <si>
    <t>2025-03-02</t>
  </si>
  <si>
    <t>2025-03-03</t>
  </si>
  <si>
    <t>2025-03-04</t>
  </si>
  <si>
    <t>📆 | dailynote | gifts</t>
  </si>
  <si>
    <t>2025-03-05</t>
  </si>
  <si>
    <t>2025-03-08</t>
  </si>
  <si>
    <t>2025-03-09</t>
  </si>
  <si>
    <t>2025-03-10</t>
  </si>
  <si>
    <t>2025-03-11</t>
  </si>
  <si>
    <t>2025-03-12</t>
  </si>
  <si>
    <t>2025-03-13</t>
  </si>
  <si>
    <t>2025-03-14</t>
  </si>
  <si>
    <t>2025-03-15</t>
  </si>
  <si>
    <t>2025-03-17</t>
  </si>
  <si>
    <t>2025-03-19</t>
  </si>
  <si>
    <t>2025-03-20</t>
  </si>
  <si>
    <t>2025-03-21</t>
  </si>
  <si>
    <t>2025-03-22</t>
  </si>
  <si>
    <t>2025-03-25</t>
  </si>
  <si>
    <t>2025-03-27</t>
  </si>
  <si>
    <t>2025-03-28</t>
  </si>
  <si>
    <t>2025-03-29</t>
  </si>
  <si>
    <t>2025-03-30</t>
  </si>
  <si>
    <t>2025-03-31</t>
  </si>
  <si>
    <t>2025-04-07</t>
  </si>
  <si>
    <t>2025-04-08</t>
  </si>
  <si>
    <t>2025-04-10</t>
  </si>
  <si>
    <t>2025-04-13</t>
  </si>
  <si>
    <t>2025-04-14</t>
  </si>
  <si>
    <t>2025-04-17</t>
  </si>
  <si>
    <t>2025-01-14</t>
  </si>
  <si>
    <t>[[Setup Multi Row Tabs in Firefox]] | [Mr Other Guy's Firefox CSS Hacks](https://github.com/MrOtherGuy/firefox-csshacks)</t>
  </si>
  <si>
    <t>i/infographic | classifications | 🦋/cheatsheets | 🦋/brain2 | obsidian | organizing</t>
  </si>
  <si>
    <t>resource | history | people | wwii</t>
  </si>
  <si>
    <t>📝/🟨 | osint</t>
  </si>
  <si>
    <t>ports | ⚓/cws</t>
  </si>
  <si>
    <t>[[Obsidian Tips]] | [[♻️ My Habits]]</t>
  </si>
  <si>
    <t>⚓/health | 🦋/brain2</t>
  </si>
  <si>
    <t>personal | knowledge | management | moc</t>
  </si>
  <si>
    <t>notetaking | notes | evergreen</t>
  </si>
  <si>
    <t>[[Vault Features]] | [[📚 Johns Building a Second Brain]] | [[_start_here]] | [[Vault Overview]] | [Andy Matuschak's Notes](https://notes.andymatuschak.org/About_these_notes) | [[🗺️ Note Taking MOC]]</t>
  </si>
  <si>
    <t>obsidian | notetaking | i/video</t>
  </si>
  <si>
    <t>[[📌 CasaOS Kanban]] | [[Setup the Zimaboard to boot off the USB Stick]]</t>
  </si>
  <si>
    <t>casaos | hardware</t>
  </si>
  <si>
    <t>⚒️ | 💡/🟨 | reference</t>
  </si>
  <si>
    <t>cbee8c9196 | this | scope | text | word | google</t>
  </si>
  <si>
    <t>2021-06-26</t>
  </si>
  <si>
    <t>obsidian | commands | hotkeys</t>
  </si>
  <si>
    <t>obsdian | obsidian.md | obsidian note taking | obsidian app | obsidian notes | obsidian note | obsidian review | obsidian tutorial | obsidian workflow | obsidian tips | obsidian templates | obsidian zettlekasten | how to use obsidian | note taking app | note taking | https://obsidian.md/index.html | obsidian vs notion | best note taking app 2021</t>
  </si>
  <si>
    <t>2022-11-20</t>
  </si>
  <si>
    <t>website | recipes</t>
  </si>
  <si>
    <t>[[📚 Johns Building a Second Brain]] | [[_start_here]] | [[Vault Overview]]</t>
  </si>
  <si>
    <t>obsidian | study | notetaking</t>
  </si>
  <si>
    <t>aa | 🤣 | humor | comedy</t>
  </si>
  <si>
    <t>[[Secure Remote Access]] | [[⚡ CasaOS Project]]</t>
  </si>
  <si>
    <t>network | casaos | ports | forwarding</t>
  </si>
  <si>
    <t>python | coding | i/webpage</t>
  </si>
  <si>
    <t>purchases | subscriptions/magazines | 🧾</t>
  </si>
  <si>
    <t>[[Vault Features]] | [[📚 Johns Building a Second Brain]] | [[_start_here]] | [[Vault Overview]] | [[📥 Konik Method for Making Useful Notes]]</t>
  </si>
  <si>
    <t>Add A New User | Delete Users | Rename Users | List Users</t>
  </si>
  <si>
    <t>linux | debian | ubuntu | unix | shell | wsl</t>
  </si>
  <si>
    <t>[[📌 CasaOS Kanban]] | [[Setup bash and VIM]]</t>
  </si>
  <si>
    <t>seedling | Mavrick | John Mavrick | Ultimate Starter Vault</t>
  </si>
  <si>
    <t>[[Evergreen Notes]] | [[Vault Features]]</t>
  </si>
  <si>
    <t>note/🌱 | 🦋/brain2</t>
  </si>
  <si>
    <t>obsidian | resource/howto | notetaking | mavrick</t>
  </si>
  <si>
    <t>features | notetaking | obsidian | mavrick</t>
  </si>
  <si>
    <t>📝/🟨 | osint | toolbox</t>
  </si>
  <si>
    <t>[[⚓ Finances]]  | [[⚡ Finances Management Project]]</t>
  </si>
  <si>
    <t>[[Metadata]] | [[Obsidian Community Plugins]]</t>
  </si>
  <si>
    <t>obsidian | 🦋/brain2</t>
  </si>
  <si>
    <t>📝/🟨 | casaos | browsers | recovery</t>
  </si>
  <si>
    <t>[[Vault Overview]] | [[Obsidian Community Plugins]]</t>
  </si>
  <si>
    <t>obsidian | 🦋/brain2 | plugins</t>
  </si>
  <si>
    <t>2023-09-17</t>
  </si>
  <si>
    <t>resource | obsidian | hotkeys | 🦋/cheatsheets</t>
  </si>
  <si>
    <t>🦋/brain2 | plugins</t>
  </si>
  <si>
    <t>obsidian | onenote</t>
  </si>
  <si>
    <t>[[🗺️ Obsidian MOC]] | [[Vault Features]]</t>
  </si>
  <si>
    <t>[[⚡ CasaOS Project]] | [[Latest Network Mappings]]</t>
  </si>
  <si>
    <t>⚒️ | 🦋/brain2</t>
  </si>
  <si>
    <t>Move DATA to S drive | Make a USB CasaOS Recovery Drive</t>
  </si>
  <si>
    <t>office | desk | design</t>
  </si>
  <si>
    <t>cables | design/office</t>
  </si>
  <si>
    <t>software | license | purchase | security</t>
  </si>
  <si>
    <t>[[MCL Multi Column]] | [[2025-02-15]]</t>
  </si>
  <si>
    <t>🦋/finances | 🗺️</t>
  </si>
  <si>
    <t>baeldung | select | character | references | navigating | further</t>
  </si>
  <si>
    <t>CasaOS | Nginx | Proxy | Docker | Wireguard</t>
  </si>
  <si>
    <t>casaos | docker | security | ports | forwarding | vpn | wireguard | dns | nginx | proxy | cloudflare</t>
  </si>
  <si>
    <t>computer/security | casaos | linux | windows</t>
  </si>
  <si>
    <t>[[⚡ CasaOS Project]] | [[⚡ Setup Linode Server Project]]</t>
  </si>
  <si>
    <t>casaos | linux | dns | vpn</t>
  </si>
  <si>
    <t>[[⚡ CasaOS Project]] | [[📌 CasaOS Kanban]]</t>
  </si>
  <si>
    <t>casaos | dns | network</t>
  </si>
  <si>
    <t>resource/howto | browsers</t>
  </si>
  <si>
    <t>nginx | casaos | proxy</t>
  </si>
  <si>
    <t>casaos | servarr</t>
  </si>
  <si>
    <t>ipmc | technology | earning | informationtechnology | redfishiaven | computers | update | finances | computing | learning | bitcoin | rianews | software | deepweb | ai | hardware | giveaways | servers | love | darkweb | price | tutorial</t>
  </si>
  <si>
    <t>wireguard | casaos | vpn</t>
  </si>
  <si>
    <t>Author</t>
  </si>
  <si>
    <t>[Setup a VPN on your network](https://medium.com/@gurayy/set-up-a-vpn-server-with-docker-in-5-minutes-a66184882c45) | [[⚡ CasaOS Project]]</t>
  </si>
  <si>
    <t>casaos | linux | vpn | network | medium | i/article</t>
  </si>
  <si>
    <t>casaos | linux | python</t>
  </si>
  <si>
    <t>aa | recovery | swensys</t>
  </si>
  <si>
    <t>Amex | American Express | Benefits | Platinum</t>
  </si>
  <si>
    <t>[[🦋 Brain2]] | [[Vault Overview]]</t>
  </si>
  <si>
    <t>🧾 | 🦋/brain2 | 💡/🟥 | 📝/🟥 | mavrick</t>
  </si>
  <si>
    <t>[[🦋 Brain2]] | [[Template Debrief]]</t>
  </si>
  <si>
    <t>🧾 | 🦋/brain2 | 💡/🟥 | 📝/🟥</t>
  </si>
  <si>
    <t>safety | expiration | expired | food | cans | eggs | oils</t>
  </si>
  <si>
    <t>i/article | cooking</t>
  </si>
  <si>
    <t>ad-free | streaming channels | channels | TV</t>
  </si>
  <si>
    <t>webpage | streaming</t>
  </si>
  <si>
    <t>[[The Debian Series-users and groups management]] | [[Manage Users]]</t>
  </si>
  <si>
    <t>casaos | i/article | debian | linux</t>
  </si>
  <si>
    <t>project | view</t>
  </si>
  <si>
    <t>notetaking | obsidian | mavrick</t>
  </si>
  <si>
    <t>[[_start_here]] | [[John's Second Brain Subvault]]</t>
  </si>
  <si>
    <t>dataview | obsidian | onboarding</t>
  </si>
  <si>
    <t>[[⚡ Cheatsheets Library]] | [[Setup bash and VIM]] | [[⚡ CasaOS Project]] | [[🗺️ Personal Knowledge Management MOC]]</t>
  </si>
  <si>
    <t>i/article | webpage | casaos | linux | 🦋/cheatsheets | mdwebclipper</t>
  </si>
  <si>
    <t>references | summary | simple | vim</t>
  </si>
  <si>
    <t>art | painting | subscriptions/magazines</t>
  </si>
  <si>
    <t>[[🦋 Writing]] | [[🦋 Art]]</t>
  </si>
  <si>
    <t>study | writing/inspiration | writing/classics | wallpapers | photography</t>
  </si>
  <si>
    <t>dataview | obsidian</t>
  </si>
  <si>
    <t>tVersion:</t>
  </si>
  <si>
    <t>[[🦋 Unassigned]] | [[⚡ Unassigned Project]]</t>
  </si>
  <si>
    <t>🧾 | 🦋/finances | 💡/🟥 | 📝/🟥 | i/article | 💭/insights</t>
  </si>
  <si>
    <t>website | autohotkey</t>
  </si>
  <si>
    <t>notetaking | dataview</t>
  </si>
  <si>
    <t>test | obsidian | study | notetaking</t>
  </si>
  <si>
    <t>cssClasses</t>
  </si>
  <si>
    <t>area | ⚓ | ⚓/&lt;% tp.file.title %&gt;</t>
  </si>
  <si>
    <t>🧾 | 🦋/finances | 💡/🟥 | 📝/🟥 | i/book | writings/bookapplications | 💭/insights</t>
  </si>
  <si>
    <t>Created:</t>
  </si>
  <si>
    <t>Updated</t>
  </si>
  <si>
    <t>fileClass</t>
  </si>
  <si>
    <t>p_busAddr</t>
  </si>
  <si>
    <t>p_busEmail</t>
  </si>
  <si>
    <t>p_busName</t>
  </si>
  <si>
    <t>p_busTitle</t>
  </si>
  <si>
    <t>p_busWebsite</t>
  </si>
  <si>
    <t>p_contactEmail</t>
  </si>
  <si>
    <t>p_contactPhone</t>
  </si>
  <si>
    <t>p_Desc</t>
  </si>
  <si>
    <t>p_DOB</t>
  </si>
  <si>
    <t>p_DOS</t>
  </si>
  <si>
    <t>p_Gender</t>
  </si>
  <si>
    <t>p_homeAddr</t>
  </si>
  <si>
    <t>p_homeCity</t>
  </si>
  <si>
    <t>p_homeST</t>
  </si>
  <si>
    <t>p_homeZip</t>
  </si>
  <si>
    <t>p_MaritalStatus</t>
  </si>
  <si>
    <t>p_Meeting</t>
  </si>
  <si>
    <t>p_NameFirst</t>
  </si>
  <si>
    <t>p_NameFull</t>
  </si>
  <si>
    <t>p_NameKnownAs</t>
  </si>
  <si>
    <t>p_NameLast</t>
  </si>
  <si>
    <t>p_NameLastInitial</t>
  </si>
  <si>
    <t>p_NameMiddle</t>
  </si>
  <si>
    <t>p_Partner</t>
  </si>
  <si>
    <t>p_Pic</t>
  </si>
  <si>
    <t>p_PicThumb</t>
  </si>
  <si>
    <t>p_Politics</t>
  </si>
  <si>
    <t>p_Schoolname</t>
  </si>
  <si>
    <t>p_SunSign</t>
  </si>
  <si>
    <t>p_Type</t>
  </si>
  <si>
    <t>peeps | checklist</t>
  </si>
  <si>
    <t>p_Aliases</t>
  </si>
  <si>
    <t>p_CommonNicknames</t>
  </si>
  <si>
    <t>p_contactSMS</t>
  </si>
  <si>
    <t>p_DOA</t>
  </si>
  <si>
    <t>p_DOD</t>
  </si>
  <si>
    <t>p_edAddr</t>
  </si>
  <si>
    <t>p_edDegree</t>
  </si>
  <si>
    <t>p_edEnrolled</t>
  </si>
  <si>
    <t>p_edMajor</t>
  </si>
  <si>
    <t>p_edMinor</t>
  </si>
  <si>
    <t>p_edSchoolname</t>
  </si>
  <si>
    <t>p_edYear</t>
  </si>
  <si>
    <t>p_Ethnicity</t>
  </si>
  <si>
    <t>p_famChildren</t>
  </si>
  <si>
    <t>p_famFather</t>
  </si>
  <si>
    <t>p_famMother</t>
  </si>
  <si>
    <t>p_famSiblings</t>
  </si>
  <si>
    <t>p_HailsFrom</t>
  </si>
  <si>
    <t>p_HangsWith</t>
  </si>
  <si>
    <t>p_homeYears</t>
  </si>
  <si>
    <t>p_Hotbuttons</t>
  </si>
  <si>
    <t>p_Interests</t>
  </si>
  <si>
    <t>p_LGBTQPlus</t>
  </si>
  <si>
    <t>p_Living</t>
  </si>
  <si>
    <t>p_Military</t>
  </si>
  <si>
    <t>p_NameMaiden</t>
  </si>
  <si>
    <t>p_Suffix</t>
  </si>
  <si>
    <t>p_Title</t>
  </si>
  <si>
    <t>p_uidFB</t>
  </si>
  <si>
    <t>p_uidFreqs</t>
  </si>
  <si>
    <t>p_uidIG</t>
  </si>
  <si>
    <t>p_uidLI</t>
  </si>
  <si>
    <t>p_uidX</t>
  </si>
  <si>
    <t>biggest | summary</t>
  </si>
  <si>
    <t>person | checklist</t>
  </si>
  <si>
    <t>selectors | biography | biographical | misc | standard | education | residences | employment</t>
  </si>
  <si>
    <t>🗺️ | dataview | tracker | 👣</t>
  </si>
  <si>
    <t>⚒️ | obsidian | pkm</t>
  </si>
  <si>
    <t>[[🗺️ Personal Knowledge Management MOC]] | [[🗺️ Obsidian MOC]] | [[⚒️ FUE - Frequently Used Emoji's]]</t>
  </si>
  <si>
    <t>⚒️ | obsidian | pkm | 🦋/brain2 | no-dv</t>
  </si>
  <si>
    <t>[[📌 Obsidian Setup Kanban]] | [[🗺️ My Tools MOC]]</t>
  </si>
  <si>
    <t>🗺️ | ⚒️ | resource</t>
  </si>
  <si>
    <t>obsidian | resource | ⚒️ | dataview</t>
  </si>
  <si>
    <t>note/🌲 | writings | writings/bookapplications</t>
  </si>
  <si>
    <t>[[⚓ My Areas]] | [[⚡ My Projects]] | [[🦋 My Resources]]</t>
  </si>
  <si>
    <t>obsidian | 🗺️ | ⚒️</t>
  </si>
  <si>
    <t>💡/🟥 | python | obsidian | v_chk</t>
  </si>
  <si>
    <t>2021-04-19</t>
  </si>
  <si>
    <t>8</t>
  </si>
  <si>
    <t>2021-04-14</t>
  </si>
  <si>
    <t>i | obsidian</t>
  </si>
  <si>
    <t>2022-06-29</t>
  </si>
  <si>
    <t>2022-06-25</t>
  </si>
  <si>
    <t>Rating</t>
  </si>
  <si>
    <t>🗺️ | ⚒️</t>
  </si>
  <si>
    <t>Code Blocks Analysis</t>
  </si>
  <si>
    <t>PluginID</t>
  </si>
  <si>
    <t>Signature</t>
  </si>
  <si>
    <t>CodeBlock-01</t>
  </si>
  <si>
    <t>CodeBlock-02</t>
  </si>
  <si>
    <t>CodeBlock-03</t>
  </si>
  <si>
    <t>CodeBlock-04</t>
  </si>
  <si>
    <t>CodeBlock-05</t>
  </si>
  <si>
    <t>CodeBlock-06</t>
  </si>
  <si>
    <t>CodeBlock-07</t>
  </si>
  <si>
    <t>CodeBlock-08</t>
  </si>
  <si>
    <t>CodeBlock-09</t>
  </si>
  <si>
    <t>CodeBlock-10</t>
  </si>
  <si>
    <t>Folder Note</t>
  </si>
  <si>
    <t>CCARD</t>
  </si>
  <si>
    <t>```ccard
type: folder_brief_live
```</t>
  </si>
  <si>
    <t>Buttons</t>
  </si>
  <si>
    <t>BUTTON</t>
  </si>
  <si>
    <t>```button
name Create Project
type command
action QuickAdd: ⚡ Create Project Folder + Note
```</t>
  </si>
  <si>
    <t>CodeBlock</t>
  </si>
  <si>
    <t>```
sudo nano /etc/sysctl.conf
```</t>
  </si>
  <si>
    <t>```
net.ipv6.conf.all.disable\_ipv6 = 1
net.ipv6.conf.default.disable\_ipv6 = 1
net.ipv6.conf.lo.disable\_ipv6 = 1
```</t>
  </si>
  <si>
    <t>```
WSL
```</t>
  </si>
  <si>
    <t>```
ssh 10.0.0.171
```</t>
  </si>
  <si>
    <t>```
admin@example.com
```</t>
  </si>
  <si>
    <t>```
changeme
```</t>
  </si>
  <si>
    <t>```
#!/bin/bash
# This script allows the user to reset their CasaOS username and password.
# Check if the casaos.service is active
if ! systemctl is-active --quiet casaos.service; then
    echo "CasaOS service is not active. Exiting."
    exit 1
fi
# Prompt user for confirmation
read -p "Do you want to reset your CasaOS username and password? (y/n): " response
# Check the user's response
if [[ "$response" != "y" ]]; then
    # If the user does not confirm, print a message and exit the script
    echo "Script execution aborted."
    exit 1
fi
# Check if user.db exists
if [[ ! -f /var/lib/casaos/db/user.db ]]; then
    # If the user database doesn't exist, print a message and exit the script
    echo "user.db does not exist. Exiting."
    exit 1
fi
# Backup user.db by moving it to a backup location
sudo mv /var/lib/casaos/db/user.db /var/lib/casaos/db/user.db.backup
# Restart the casaos user service to reflect the changes
sudo systemctl restart casaos-user-service.service
# Print a success message to the user
echo "Commands executed successfully. Visit CasaOS UI again and the welcome screen should present to reset password."
```</t>
  </si>
  <si>
    <t>```
bash -c "$(wget -qLO - https://raw.githubusercontent.com/bigbeartechworld/big-bear-scripts/master/reset-password-for-casaos/run.sh)"
```</t>
  </si>
  <si>
    <t>```
ipconfig /release
ipconfig /renew
```</t>
  </si>
  <si>
    <t>```
sudo apt -y install apt-transport-https ca-certificates curl gnupg2 software-properties-common
curl -fsSL https://download.docker.com/linux/debian/gpg | sudo gpg --dearmor -o /usr/share/keyrings/docker-archive-keyring.gpg
echo "deb [arch=amd64 signed-by=/usr/share/keyrings/docker-archive-keyring.gpg] https://download.docker.com/linux/debian $(lsb_release -cs) stable" | sudo tee /etc/apt/sources.list.d/docker.list
sudo apt update
sudo usermod -aG docker swen
```</t>
  </si>
  <si>
    <t>```
netstat -tulpn|grep :80
```</t>
  </si>
  <si>
    <t>```
sudo vim /etc/apache2/ports.conf
```</t>
  </si>
  <si>
    <t>```
sudo systemctl restart apache2 #SystemD
sudo service apache2 restart #SysVInit
```</t>
  </si>
  <si>
    <t>```
swen in 🌐 CasaOS in ~ ❯ sudo docker ps
[sudo] password for swen:
```</t>
  </si>
  <si>
    <t>```
sudo docker inspect -f '{{range.NetworkSettings.Networks}}{{.IPAddress}}{{end}}' 1a0ee20d7453
```</t>
  </si>
  <si>
    <t>```
secure.usenetserver.com
```</t>
  </si>
  <si>
    <t>```
slappycat2
```</t>
  </si>
  <si>
    <t>```
KSW2uSofP&amp;d9gAHc
```</t>
  </si>
  <si>
    <t>```
ipconfig /all
```</t>
  </si>
  <si>
    <t>```
netsh interface portproxy add v4tov4 listenport=8080 listenaddress=192.168.1.10 connectport=8080 connectaddress=192.168.1.10
```</t>
  </si>
  <si>
    <t>```
netsh interface portproxy show all
```</t>
  </si>
  <si>
    <t>```
netsh interface portproxy add v4tov4 listenport=80 listenaddress=0.0.0.0 connectport=8080 connectaddress=192.168.1.10
```</t>
  </si>
  <si>
    <t>```
netsh interface portproxy add v4tov4 listenport= listenaddress= connectport= connectaddress=
```</t>
  </si>
  <si>
    <t>```button
name Create Kanban
type command
action QuickAdd: 📌 Create Kanban
```</t>
  </si>
  <si>
    <t>Dataview</t>
  </si>
  <si>
    <t>DATAVIEW</t>
  </si>
  <si>
    <t>```dataview
list
from [[⚡ CasaOS Project]] and !outgoing([[⚡ CasaOS Project]])
```</t>
  </si>
  <si>
    <t>```
{"kanban-plugin":"board","tag-colors":[]}
```</t>
  </si>
  <si>
    <t>AD-INFO</t>
  </si>
  <si>
    <t>```ad-info
There are two types of functions:
1. Internal function
	1. predefined function in the templater library
2. user function
	1. system command
	2. user_script
```</t>
  </si>
  <si>
    <t>```ad-info
All function types are children of the tp object and can therefore be called with:
```</t>
  </si>
  <si>
    <t>```ad-info
The internal functions are sorted into modules.
The existing modules are:
1. Config module
2. Date module
3. File module
4. Frontmatter module
5. Obsidian module
6. System module
7. Web module
*The module is part of the function invocation.*
```</t>
  </si>
  <si>
    <t>```
tp.'function'.*
```</t>
  </si>
  <si>
    <t>```
#### Config Module
```</t>
  </si>
  <si>
    <t>```
The active file (if existing) when launching Templater.
```</t>
  </si>
  <si>
    <t>```
The `RunMode`, representing the way Templater was launched (Create new from template, Append to active file, ...)
```</t>
  </si>
  <si>
    <t>```
The `TFile` object representing the target file where the template will be inserted.
```</t>
  </si>
  <si>
    <t>```
The `TFile` object representing the template file.
#### Date module
```</t>
  </si>
  <si>
    <t>```
Retrieves the date.
Arguments:
-   `format`: Format for the date, refer to [format reference](https://momentjs.com/docs/#/displaying/format/)
-   `offset`: Offset for the day, e.g. set this to `-7` to get last week's date. You can also specify the offset as a string using the ISO 8601 format
-   `reference`: The date referential, e.g. set this to the note's title
-   `reference_format`: The date reference format.
```</t>
  </si>
  <si>
    <t>```
Retrieves tomorrow's date.
Arguments:
-   `format`: Format for the date, refer to [format reference](https://momentjs.com/docs/#/displaying/format/)
```</t>
  </si>
  <si>
    <t>```
Arguments:
-   `format`: Format for the date, refer to [format reference](https://momentjs.com/docs/#/displaying/format/)
-   `reference`: The date referential, e.g. set this to the note's title
-   `reference_format`: The date reference format.
-   `weekday`: Week day number. If the locale assigns Monday as the first day of the week, `0` will be Monday, `-7` will be last week's day.
```</t>
  </si>
  <si>
    <t>```
Retrieves yesterday's date.
Arguments:
-   `format`: Format for the date, refer to [format reference](https://momentjs.com/docs/#/displaying/format/)
**Moment.js**
*Templater gives you access to the `moment` object, with all of its functionalities.
More information on moment.js [here](https://momentjs.com/docs/#/displaying/)*
#### File Module
```</t>
  </si>
  <si>
    <t>JAVASCRIPT</t>
  </si>
  <si>
    <t>```javascript
opening tag = &lt;%
closing tag = %&gt;
```</t>
  </si>
  <si>
    <t>```javascript
tp.'function'(arg1, arg2, arg3...
[or empty])
```</t>
  </si>
  <si>
    <t>```javascript
tp.&lt;my_function&gt;(arg1_name: type, arg2_name?: type, arg3_name: type = &lt;default_value&gt;, arg4_name: type1|ty
```</t>
  </si>
  <si>
    <t>```dataview
list
from [[⚡ Cheatsheets Library]] and !outgoing([[⚡ Cheatsheets Library]])
```</t>
  </si>
  <si>
    <t>```
&gt; import re
&gt; 
&gt; EXT_LINK = re.compile(r"\[([^\[]+)\](\(.*\))")  # Compile the re into a CONSTANT
&gt; 
&gt; text_value = "[Google Search](https://google.com)"
&gt; if len(list(EXT_LINK.finditer(text_value.strip()))) &gt; 0
&gt;     print(f" text_value: {text_value} is a Markdown external link")
&gt; ```</t>
  </si>
  <si>
    <t>```
&lt;?php
$regex = '\[(.+)\]\(([^ ]+)( "(.+)")?\)';
$subject = '[My text](example.com "My title")';
preg_match("`$regex`", $subject, $matches);
echo json_encode($matches, JSON_PRETTY_PRINT);
```</t>
  </si>
  <si>
    <t>```
[
    "[My text](http:\/\/www.example.com \"My title\")",
    "My text",
    "http:\/\/www.example.com",
    " \"My title\"",
    "My title"
]
```</t>
  </si>
  <si>
    <t>```
\[(.+)\]\(([^ ]+)(?: "(.+)")?\)
```</t>
  </si>
  <si>
    <t>```
  [
      "[My text](http:\/\/www.example.com \"My title\")",
      "My text",
      "http:\/\/www.example.com",
      "My title"
  ]
```</t>
  </si>
  <si>
    <t>```
\[(?&lt;text&gt;.+)\]\((?&lt;url&gt;[^ ]+)(?: "(?&lt;title&gt;.+)")?\)
```</t>
  </si>
  <si>
    <t>```
{
    "0": "[My text](http:\/\/www.example.com \"My title\")",
    "text": "My text",
    "1": "My text",
    "url": "http:\/\/www.example.com",
    "2": "http:\/\/www.example.com",
    "title": "My title",
    "3": "My title"
}
```</t>
  </si>
  <si>
    <t>```
\[
  (?&lt;text&gt;.+)              # Text group
\]
\(
  (?&lt;url&gt;[^ ]+)            # URL group
  (?:                      # Group matching title with space and double quotes around
    [ ]                    # Space separating URL and optional title
    "
      (?&lt;title&gt;.+)         # Title group
    "
  )?                       # Title group is optional
\)
```</t>
  </si>
  <si>
    <t>```
(?&lt;title&gt;(?:[^"]|(?&lt;=\\)")*?)
```</t>
  </si>
  <si>
    <t>```
\[
  (?&lt;text&gt;.+)              # Text group
\]
\(
  (?&lt;url&gt;[^ ]+)            # URL group
  (?:                      # Optional group matching title with space and double quotes around
    [ ]                    # Space separating URL and optional title
    "
      (?&lt;title&gt;            # Title group
        (?:
          [^"]|(?&lt;=\\)"
        )*?
      )
    "
  )?
\)
```</t>
  </si>
  <si>
    <t>```
&gt; &lt;html&gt;
&gt; &lt;head&gt;
&gt; &lt;meta http-equiv="Content-Type" content="text/html; charset=utf-8"&gt;
```</t>
  </si>
  <si>
    <t>```
---
date: 2020-08-21
time: 2020-08-21T10:30:00
---
```</t>
  </si>
  <si>
    <t>```
tags: (&lt;%).*cursor.*(%&gt;)             (9 files affected)  
links: \[\[(&lt;%).*cursor.*(%&gt;)        (25 files affected)  
```</t>
  </si>
  <si>
    <t>```
Headings:  
  - "[[2022-12-09#Summary|📝]] [[2022-12-09#Accomplishments|✅]] [[2022-12-09#Gratitude|🙏]] [[2022-12-09#Content Log|📚]]"  
  - "[[2022-12-09#Story|🌟]] [[2022-12-09#Thoughts|💭]] [[2022-12-09#Improvements|💪]] [[2022-12-09#Obstacles|🚧]]"  
```</t>
  </si>
  <si>
    <t>```
---  
---  
tags: dailyNote  
___  
```</t>
  </si>
  <si>
    <t>```
%%
The following headings can be added, as needed
## 📝Summary
## ✅Accomplishments
## 🙏Gratitude
## 📚Content Log
## 🌟Story
## 💭Thoughts
## 💪Improvements
## 🚧Obstacles
If used, you may wish to add a "Jump To" at the top of the page, for example:
#### Jump To:
- "[[2023-09-17## 📝Summary]]
%%
```</t>
  </si>
  <si>
    <t>```
%% ------ We're using the file title below because this may not be the dailynote for TODAY! %%
'''
query\nline:("Created:: 2023-09-23") (or whatever date)
'''
```</t>
  </si>
  <si>
    <t>```
main:  
    init  
    Tmpl  
    fCls  
 (calls process file)  
process_file:  
  (calls fix_yaml)  
    cYml  
    BadY  
    Ylen  
    MapT  
    cPnd  
    cLnk (the clean_links call was REMd. I'm changing it back.)  
  (calls process_yaml)  
    tDif  
    BadY - duplicate!  
    Modi  
    nChg  
process_yaml:  
    yErr  
    Excp  
    Dict  
  (calls proc_val)  
    NulY  
proc_val:  
  (calls get_link_type)  
  (calls clean_links)  
  (strips # from tags)  
```</t>
  </si>
  <si>
    <t>```
descs = {"Dict": ["Failure: Not a dictionary!"  
                , "proc_yaml: This occurs because while the python YAML package was able to do a"  
                , "safe_load of the YAML, it was not a valid dictionary. This is a problem with the"  
                , "YAML formatting within the file itself and should be investigated."  
                  ],  
         "yErr": ["Failure: YAML Package Exception! Unable to safe_load YAML."  
                , "proc_yaml: This event fires when the YAML package throws an exception."  
                , "Caused by invalid YAML, and is almost certain to fail in Obsidian."  
                  ],  
         "Excp": ["Failure: Unknown Exception!"  
                 , "This event fires because of an enexpected error in proc_yaml. These tend to be"  
                 , "coding issues and should not occur. Review the error (saved in the After column"  
                 , "of this table. Fix the code, restore Obsidian, and run the script again."  
                  ],  
         "MapT": ["Failure: MapswithTag (possible fileClass?)!"  
             , 'This event fires early in process_file. If the string "mapwithtag" exists anywhere'  
             , "in the YAML text, it indicates this file may be a part of Obsidian's fileClass system"  
             , 'and should not be touched. The fileClass Folder is already Skipped by this system, so,'  
             , 'I would be asking, "Why is this file not in the fileClass folder?'  
                  ],  
         "YLen": ["Failure: Bad YAML Boundaries"  
             , 'process_files: This system uses REGEX to find YAML boundaries in the file as delimited'  
             , 'by "---". After applying the regex, if the length returned is less than 2, than their'  
             , 'probably is no YAML, and this file cannot be processed. MATCH appears in "After".'  
                  ],  
         "tDif": ["Failure: YAML not modified but Text is Different!"  
             , "process_files: If proc_yaml says the text waa NOT Modified, but the text yaml has somehow"  
             , "changed, it should be investigated. This could a coding error. Maybe the flag should have"  
             , "been set?"  
                  ],  
         "BadY": ["Failure: Bad YAML-Unexpected --- boundary formatting."  
             , 'process_file: If the first line of the file is not "---", the system will attempt a'  
             , '"brute force" fix (cYml). After that is done, if the first line is still not "---", this'  
             , 'error will fire.'  
                  ],  
         "NulY": ["Failure: Empty YAML"  
             , 'proc_yaml: After all YAML has been processed, if the resulting yaml text is just the opening'  
             , 'and closing boundaries, this fires. It may not indicate an error, as there may have been'  
             , 'only empty yaml properties in the file, which the system will strip out.'  
                  ],  
         "cPnd": ["Warning: Pound Signs Cleaned."  
             , 'process_files: Aggressive! Early on, if pound sign are found ANYWHERE in the yaml, they'  
             ,  
                  'are stripped! These should be reviewed to make sure the code is not destroying valid information.'  
             , "#'s should NOT be used for tags in frontmatter, but this can't tell what is a tag!"  
                  ],  
         "cLnk": ["Warning: Links Cleaned."  
             , 'process_files: Aggressive! Early on, if "[["s are found ANYWHERE in the yaml, the system'  
             ,  
                  'attempts to format them, properly. However, LISTs of LISTs could represent a problem! Therefore'  
             ,  
                  'these should be carefully reviewed to make sure the code is not destroying valid information.'  
                  ],  
         "cYml": ["Warning: YAML Cleaned."  
             , 'process_file: If the first line of the file is not "---", the system will attempt a'  
             , '"brute force" fix and this event will fire. Review carefully for data loss!'  
                  ],  
         "Skip": ["Skipped: No changes necessary, or, Templates or Obsidian files"  
             , 'process_files: If the file is a template, fileClass, or an obsidian file, this event'  
             , 'will fire. This is expected behaviour, but is logged for tracking purposes.'  
                  ],  
         "Tmpl": ["Skipped: Template file"  
             , 'process_files: If the file is a template, fileClass, or an obsidian file, this event'  
             , 'will fire. This is expected behaviour, but is logged for tracking purposes.'  
                  ],  
         "oDir": ["Skipped: Obsidian Directory"  
             , 'process_files: If the file is a template, fileClass, or an obsidian file, this event'  
             , 'will fire. This is expected behaviour, but is logged for tracking purposes.'  
                  ],  
         "fCls": ["Skipped: fileClass"  
             , 'process_files: If the file is a template, fileClass, or an obsidian file, this event'  
             , 'will fire. This is expected behaviour, but is logged for tracking purposes.'  
                  ],  
         "nChg": ["Skipped: No changes made to YAML"  
             , 'process_files: If the file is processed and no changes are made, it is skipped.'  
             , 'This is expected behaviour, but is logged for tracking purposes.'  
                  ],  
         "Modi": ["Modified: YAML modified"  
             , 'process_files: If the file is processed and corrections are made, it is saved back'  
             , 'to Obsidian.'  
             , 'This is goodness! See that it equals what has changed in BeyondCompare!'  
                  ],  
         "Init": ["Initial: YAML not modified"  
             , 'process_files: ALL MARKDOWN (md) files are logged under this status as they enter this'  
             , 'process, and the first 30 lines of the file are saved in the Before column, below.'  
             , 'This is meant to be a control, useful for tracking purposes.'  
                  ]
```</t>
  </si>
  <si>
    <t>QUERY\NLINE:(.*)\N</t>
  </si>
  <si>
    <t>```query\nline:(.*)\n```</t>
  </si>
  <si>
    <t>```dataview
list
from [[⚡ Coding]] and !outgoing([[⚡ Coding]])
```</t>
  </si>
  <si>
    <t>```dataview
list
from [[⚡ Create a Recipe Cookbook]] and !outgoing([[⚡ Create a Recipe Cookbook]])
```</t>
  </si>
  <si>
    <t>```dataview
list
from [[⚡ Debug metaCatchall]] and !outgoing([[⚡ Debug metaCatchall]])
```</t>
  </si>
  <si>
    <t>```dataview
list
from [[⚡ Sell House]] and !outgoing([[⚡ Sell House]])
```</t>
  </si>
  <si>
    <t>```
{"kanban-plugin":"basic","show-checkboxes":true}
```</t>
  </si>
  <si>
    <t>Mermaid Tools</t>
  </si>
  <si>
    <t>MERMAID</t>
  </si>
  <si>
    <t>```mermaid
erDiagram
    i ||--o{ i-f : allows
	i[MIR] {
		int i_id PK
		varchar(50) i_filename
	}
    i ||--o{ i-p : allows
	i[MIR] {
		int i_id PK
		varchar(50) i_filename
		varchar(300) i_filepath
		varchar(3) i_filetype
		int i_size
		varchar(6) i_CRC
		date i_created
		date i_modified
		date i_db_added
		date i_db_updated
		EXIF i_data
	}
    p ||--o{ i-p : is
    p[PERSON] {
		int p_id PK
		varchar(50) p_first_name
		varchar(50) p_middle_name
		varchar(50) p_last_name
		date pe_dob
		date pe_dod
	}
	i-p[IMAGE-PERSON] {
		int i_id PK, FK
		int p_id PK, FK
	}
```</t>
  </si>
  <si>
    <t>```dataview
list
from [[⚡ Image Categorization Project]] and !outgoing([[⚡ Image Categorization Project]])
```</t>
  </si>
  <si>
    <t>```dataview
list
from [[⚡ Learn Python and OOP Project]] and !outgoing([[⚡ Learn Python and OOP Project]])
```</t>
  </si>
  <si>
    <t>```
view-content .kanban-plugin::after {
  content: "";
  position: fixed;
  background-image: url(https://images.unsplash.com/photo-1513735718075-2e2d37cb7cc1?ixlib=rb-4.0.3&amp;ixid=MnwxMjA3fDB8MHxzZWFyY2h8Nnx8bGlnaHRob3VzZXxlbnwwfHwwfHw%3D&amp;w=1000&amp;q=80);
  background-repeat: no-repeat;
  background-size: cover;
  filter: blur(1px) brightness(70%) saturate(100%);
  left: 0;
  top: 0;
  right: 0;
  bottom: 0;
  z-index: -1;
}
```</t>
  </si>
  <si>
    <t>```
.popover.hover-popover &gt; .markdown-embed {
    height: 100%;
    max-height: 60vh;
    max-width: 60vh;
    overflow: scroll;
}
```</t>
  </si>
  <si>
    <t>```
.canvas img[alt~="canvas-top"] {
 position: relative;
 left: -24px;
 top: -24px;
 object-fit: cover;
 width: calc(100% + 48px);
 max-width: none;
 display: block;
 margin-bottom: -12px;
}
```</t>
  </si>
  <si>
    <t>```
/* quote container */
.markdown-preview-view .quoteback {
  border: 1px solid #c2dfe3;
  border-radius: 8px;
  color: rgb(70, 74, 77);
  padding: 1rem 1rem 0rem 1rem;
  position: relative;
}
/* make border darker on hover */
.markdown-preview-view .quoteback:hover {
 border: 1px solid #9db8bf;
}
/* quote footer */
.markdown-preview-view .quoteback&gt;footer {
  border-top: 1px solid lightblue;
  font-size: .875rem;
  font-weight: 600;
  margin: 0.5rem -1rem auto -1rem;
  padding: 0.5rem 1rem 0 1rem;
}
/* quote link */
.markdown-preview-view .quoteback&gt;footer&gt;cite&gt;a {
 height: 100%;
 left: 0;
 margin: 0;
 opacity: 0;
 position: absolute;
 top: 0;
 width: 100%;
}
/* quote title */
.markdown-preview-view .quoteback::after {
  display: block;
  color: rgb(92, 109, 115);
  content: attr(data-title);
  font-size: .875rem;
  font-weight: 600;
  margin: 0 -1rem;
  padding: 0 1rem 0.5rem 1rem;
}
blockquote {
  transition-duration: 0.2s;
}
blockquote:hover {
  box-shadow: 0 10px 16px lightgrey;
  transform: translateY(-10px);
}
```</t>
  </si>
  <si>
    <t>```
.callout[data-callout="quote"] {
    display: flex;
    flex-direction: column-reverse;
    /* --callout-padding: 8px 1rem; */
  }.callout[data-callout="quote"] &gt; .callout-title {
    /* margin-block: .5em; */
   text-indent: 1.25em;
  }
.callout[data-callout="quote"] &gt; .callout-title &gt; .callout-icon,
  .callout[data-callout="cite"] &gt; .callout-title &gt; .callout-icon {
    transform: scale(-1, 1);
  }
  .callout[data-callout='quote'] .callout-content p/* ,
.callout[data-callout='cite'] .callout-content p  */{
   margin-top: 0;
}
```</t>
  </si>
  <si>
    <t>```
Centered H1
/* EDIT MODE */
.HyperMD-header.HyperMD-header-1 {
    text-align: center;
}
/* PREVIEW MODE */
.markdown-preview-view h1 {
    text-align: center;
}
```</t>
  </si>
  <si>
    <t>```
/* Page breaks */
@media print {
  h1 {
    page-break-before: always;
  }
  h2, h3, h4, h5, h6 {
    page-break-after: avoid;
  }
  /* optional */
  .internal-embed{
    page-break-after: avoid;
    page-break-before: avoid;}
}
```</t>
  </si>
  <si>
    <t>```
.theme-dark .external-link {
    color:blanchedalmond !important;
    font-size: 1.01em!important;
    font-weight:500;
    background-position: left!important;
    background-repeat: no-repeat!important;
    background-image: linear-gradient(transparent, transparent), url(https://i.imgur.com/As68C4R.png)!important;
    background-size: 30px!important;
    padding:10px 2px 10px 35px!important;
    background-position-y: 0px!important;
    cursor: pointer!important;
  }
  .theme-light .external-link {
    color:chocolate !important;
    font-size: 1.01em!important;
    font-weight:500;
    background-position: left!important;
    background-repeat: no-repeat!important;
    background-image: linear-gradient(transparent, transparent), url(https://i.imgur.com/As68C4R.png)!important;
    background-size: 30px!important;
    padding:10px 2px 10px 35px!important;
    background-position-y: 0px!important;
    cursor: pointer!important;
  }
```</t>
  </si>
  <si>
    <t>```
.nav-folder-children .nav-file-title-content:first-child::before {
    content: "\e924  ";
    font-family: 'IcoMoon-Free';
  }
  .nav-folder-children .nav-folder-title-content::before {
    content: '\e930  ';
    font-family: 'IcoMoon-Free';
  }
  .nav-folder-children .nav-file-title-content:first-child::before { content: '🗒 '; }
.nav-folder-children .nav-folder-title-content::before { content: '📂 '; }
```</t>
  </si>
  <si>
    <t>&lt;/CODE&gt;</t>
  </si>
  <si>
    <t>```&lt;/code&gt;
- `~~~`
### Emphasis (italics) Delimiter
- `_italics_`
- `*italics*`
### Strong (bold) Delimiter
- `**bold**`
- `__bold__`
### Link Style
- Inlined
```</t>
  </si>
  <si>
    <t>```
---
created: {date:YYYY-MM-DDTHH:mm:ss} (UTC {date:Z})
tags: [{keywords}]
source: {baseURI}
author: {byline}
---
# {pageTitle}
&gt; ## Excerpt
&gt; {excerpt}
---
```</t>
  </si>
  <si>
    <t>```
const helloWorld = () =&gt; {
····console.log("Hello World");
}
```</t>
  </si>
  <si>
    <t>```
- Referenced
```</t>
  </si>
  <si>
    <t>```
- Strip links
```</t>
  </si>
  <si>
    <t>```
### Link Reference Style
**If [Link Style](#Link%20Style) is "Referenced"**
- Full
```</t>
  </si>
  <si>
    <t>```
- Collapsed
```</t>
  </si>
  <si>
    <t>```
- Shortcut
```</t>
  </si>
  <si>
    <t>```
### Image Style
- Original Source
```</t>
  </si>
  <si>
    <t>```
- Strip Images
```</t>
  </si>
  <si>
    <t>```
**The following options only apply if [Download Images](#Download%20Images) is on (Not supported in Safari)**
- Pure Markdown
```</t>
  </si>
  <si>
    <t>MARKDOWN</t>
  </si>
  <si>
    <t>```markdown
All About Dogs
==============
```</t>
  </si>
  <si>
    <t>```markdown
# All About Dogs
```</t>
  </si>
  <si>
    <t>```markdown
····const helloWorld = () =&gt; {
········console.log("Hello World");
····}
```</t>
  </si>
  <si>
    <t>```
&gt;&gt;&gt; from openpyxl.styles import Font
&gt;&gt;&gt; font = Font(color="FF0000")
```</t>
  </si>
  <si>
    <t>```
&gt;&gt;&gt; from openpyxl.styles import Font
&gt;&gt;&gt; font = Font(color="00FF00")
&gt;&gt;&gt; font.color.rgb
'0000FF00'
```</t>
  </si>
  <si>
    <t>```
&gt;&gt;&gt; from openpyxl.styles.colors import Color
&gt;&gt;&gt; c = Color(indexed=32)
&gt;&gt;&gt; c = Color(theme=6, tint=0.5)
```</t>
  </si>
  <si>
    <t>```
&gt;&gt;&gt; from openpyxl.workbook import Workbook
&gt;&gt;&gt; from openpyxl.styles import Font, Fill
&gt;&gt;&gt; wb = Workbook()
&gt;&gt;&gt; ws = wb.active
&gt;&gt;&gt; c = ws['A1']
&gt;&gt;&gt; c.font = Font(size=12)
```</t>
  </si>
  <si>
    <t>```
&gt;&gt;&gt; col = ws.column_dimensions['A']
&gt;&gt;&gt; col.font = Font(bold=True)
&gt;&gt;&gt; row = ws.row_dimensions[1]
&gt;&gt;&gt; row.font = Font(underline="single")
```</t>
  </si>
  <si>
    <t>```dataview
TABLE WITHOUT ID
	file.link as "Note"
	, status as "Status"
	, subvault as "Sub"
	, join(tags, ",") as "Tags"
FROM [[⚡ Learning Obsidian Project]]
	and !outgoing([[⚡ Learning Obsidian Project]])
	and -"z_meta"
SORT subvault, file.link asc
```</t>
  </si>
  <si>
    <t>```
{"kanban-plugin":"basic","show-checkboxes":true,"metadata-keys":[],"lane-width":350}
```</t>
  </si>
  <si>
    <t>```
{"kanban-plugin":"board","show-checkboxes":true}
```</t>
  </si>
  <si>
    <t>```dataview
list
from [[⚡ Learning iOS Project]] and !outgoing([[⚡ Learning iOS Project]])
```</t>
  </si>
  <si>
    <t>```dataview
list
from [[⚡ Media]] and !outgoing([[⚡ Media]])
```</t>
  </si>
  <si>
    <t>```dataview
table WITHOUT ID
  Area as "Area",
  file.link as "Project",
  Deadline As Deadline,
  Status as "Status"
FROM #Finances
SORT Area asc
```</t>
  </si>
  <si>
    <t>```dataview
list
from [[⚡ Money Management]] and !outgoing([[⚡ Money Management]])
```</t>
  </si>
  <si>
    <t>```dataview
table WITHOUT ID
  Area as "Area",
  file.link as "Project",
  Deadline As Deadline,
  Status as "Status"
FROM #⚡
WHERE file.name != "Project Template" AND file.name != "⚡ My Projects"
SORT Area asc
```</t>
  </si>
  <si>
    <t>```dataview
table WITHOUT ID
  Area as "Area",
  file.link as "Project",
  Deadline As Deadline,
  Status as "Status"
FROM #projects
WHERE file.name != "Project Template" AND file.name != "⚡ My Projects"
SORT Area asc
```</t>
  </si>
  <si>
    <t>```dataview
&gt;&gt; table Deadline, Area
&gt;&gt; WHERE status = "#⚡/🟥" and file.name != "Project Template" AND file.name != this.file.name
&gt;&gt; SORT Deadline asc
&gt;&gt; ```</t>
  </si>
  <si>
    <t>```dataview
&gt;&gt; table Deadline, Area
&gt;&gt; FROM #⚡/🟨
&gt;&gt; WHERE file.name != this.file.name
&gt;&gt; SORT Deadline asc
&gt;&gt; ```</t>
  </si>
  <si>
    <t>```dataview
&gt;&gt; table Deadline, Area
&gt;&gt; FROM #⚡/🟩
&gt;&gt; WHERE file.name != this.file.name
&gt;&gt; SORT Deadline asc
&gt;&gt; ```</t>
  </si>
  <si>
    <t>```dataview
&gt;&gt; table Deadline, Area
&gt;&gt; FROM #⚡/⬛
&gt;&gt; WHERE file.name != this.file.name
&gt;&gt; ```</t>
  </si>
  <si>
    <t>```dataview
list
from [[⚡ Office Desk Design]] and !outgoing([[⚡ Office Desk Design]])
```</t>
  </si>
  <si>
    <t>```dataview
list
from [[⚡ Print On Demand Project]] and !outgoing([[⚡ Print On Demand Project]])
```</t>
  </si>
  <si>
    <t>```
F:\Dropbox\!bups\HprSnap9wo_Hotkeys.ini
```</t>
  </si>
  <si>
    <t>```
### Begin License ###
PD:{HyperSnap 9}
LO:{Swen Larsen}
SN:{cb-417067670}
NC:{1}
LD:{2023.09.07}
KI:{HPHS-0}
FS:{0}
KD:{349
FGJnUAzS5wkXkOaiFUUGpzQQBWhdbAHt7fkfuy7eSTExpAXxzr4peoScm/LT1NLKnX869oHz
HEAaxLJmFp0miQoh0U3Tc0uWdbHEVII3f6tvgVOFi23X8ZkiDkjw5aoxpnhjx/OSEuaexUaU
8LKdimSlQ4qKN4Wp36zzp/TtsNWl38U/9jQmGcNHmkYjAIeRHYTSdVxIv2ZjvTjuwd5lCxSi
V/Oa8ANP1GhvrUft9W3kQDH2Et+KE/7z/NkbcELj+mZaQEb2cEwsOqfiaQPtgXD88qxc003B
TriWw7s6QRT6YFxoLFOl/9FPPn6Lz2Apb9HUy9W/XhI5rTy5vIONyg==
EK:}
### End License ###
```</t>
  </si>
  <si>
    <t>```dataview
list
from [[⚡ Rebuild PC Project Project]] and !outgoing([[⚡ Rebuild PC Project Project]])
```</t>
  </si>
  <si>
    <t>```dataview
table status
from [[⚡ Recovery Project]] and !outgoing([[⚡ Recovery Project]])
SORT file.name ASC
```</t>
  </si>
  <si>
    <t>```
    ssh -t user@lish-newark.linode.com example-instance
    ```</t>
  </si>
  <si>
    <t>```
apt update &amp;&amp; apt upgrade
```</t>
  </si>
  <si>
    <t>```
apk update &amp;&amp; apk upgrade
```</t>
  </si>
  <si>
    <t>```
emerge -uDU --keep-going --with-bdeps=y @world
```</t>
  </si>
  <si>
    <t>```
slackpkg update
slackpkg upgrade-all
```</t>
  </si>
  <si>
    <t>```
    timedatectl list-timezones
    ```</t>
  </si>
  <si>
    <t>```
    timedatectl set-timezone 'America/New_York'
    ```</t>
  </si>
  <si>
    <t>```
    echo "EST" &gt; /etc/timezone
    ```</t>
  </si>
  <si>
    <t>```
    emerge --config sys-libs/timezone-data
    ```</t>
  </si>
  <si>
    <t>```
root@localhost:~# date
Thu Feb 16 12:17:52 EST 2018
```</t>
  </si>
  <si>
    <t>```dataview
list
from [[⚡ Setup Linode Server]] and !outgoing([[⚡ Setup Linode Server]])
```</t>
  </si>
  <si>
    <t>```button
name Create Kanban
type command
action QuickAdd: 📌 Create Kanban + Set Folder
```</t>
  </si>
  <si>
    <t>```dataview
table file.mtime as "Last Modified"
from #kanbans AND -"z_meta"
sort file.mtime desc
```</t>
  </si>
  <si>
    <t>```
this is code, and shouldn't be included #code
```</t>
  </si>
  <si>
    <t>```button
name Create Area Folder + Note
type command
action QuickAdd: ⚓ Create Area Folder + Note
```</t>
  </si>
  <si>
    <t>```button
name Create Area Note
type command
action QuickAdd: ⚓ Create Area Note
```</t>
  </si>
  <si>
    <t>```button
name Create An Area Sub-Note
type command
action QuickAdd: ⚓ Create Area Note
```</t>
  </si>
  <si>
    <t>```dataview
table Deadline
FROM #⚡ AND [[⚓ AA Recovery]]
SORT Deadline asc
```</t>
  </si>
  <si>
    <t>```dataview
table Status, Rating, author as Author
FROM #i AND [[AA Recovery]]
SORT file.mtime desc
```</t>
  </si>
  <si>
    <t>```dataview
table Created
FROM [[AA Recovery]] AND !#⚓ AND !#📥
SORT file.mtime desc
```</t>
  </si>
  <si>
    <t>```
Sub InsertAllPicturesInFolder()
	Dim MyDialog As FileDialog, MyFolder As String, MyFile As String, MyPic As String
    Dim r As Integer, x As Integer, y As Integer, w As Integer, h As Integer
    Set MyDialog = Application.FileDialog(msoFileDialogFolderPicker)
    If MyDialog.Show = -1 Then
		MyFolder = MyDialog.SelectedItems(1) &amp; Application.PathSeparator
        MyFile = Dir(MyFolder)
		Do While MyFile &lt;&gt; ""
	        r = r + 1
	        Cells(r, 1).Value = MyFile
	        With Cells(r, 2)
		        .RowHeight = 42
				x = .Left
				y = .Top
				w = .Width
				h = .Height
			End With
			MyPic = MyFolder &amp; MyFile
			ActiveSheet.Shapes.AddPicture MyPic, msoFalse, msoTrue, x, y, w, h
			MyFile = Dir
		Loop
	End If
End Sub
```</t>
  </si>
  <si>
    <t>```dataview
table Status, Deadline
FROM #projects or #⚡ or #⚓/CWS or #⚓/Coding
SORT Deadline asc
```</t>
  </si>
  <si>
    <t>```dataview
table Status, Rating, author as Author
FROM #i AND [[CWS]]
SORT file.mtime desc
```</t>
  </si>
  <si>
    <t>```dataview
table Created
FROM [[CWS]] AND !#⚓ AND !#📥
SORT file.mtime desc
```</t>
  </si>
  <si>
    <t>```dataview
table Deadline
FROM #⚡ AND [[Family]]
SORT Deadline asc
```</t>
  </si>
  <si>
    <t>```dataview
table Status, Rating, author as Author
FROM #i AND [[Family]]
SORT file.mtime desc
```</t>
  </si>
  <si>
    <t>```dataview
table Created
FROM [[Family]] AND !#⚓ AND !#📥
SORT file.mtime desc
```</t>
  </si>
  <si>
    <t>```dataview
table Deadline
FROM #⚡ AND [[Finances]]
SORT Deadline asc
```</t>
  </si>
  <si>
    <t>```dataview
table Status, Rating, author as Author
FROM #i AND [[Finances]]
SORT file.mtime desc
```</t>
  </si>
  <si>
    <t>```dataview
table Created
FROM [[Finances]] AND !#⚓ AND !#📥
SORT file.mtime desc
```</t>
  </si>
  <si>
    <t>```dataview
table Deadline
FROM #⚡ AND [[Health]]
SORT Deadline asc
```</t>
  </si>
  <si>
    <t>```dataview
table Status, Rating, author as Author
FROM #i AND [[Health]]
SORT file.mtime desc
```</t>
  </si>
  <si>
    <t>```dataview
table Created
FROM [[Health]] AND !#⚓ AND !#📥
SORT file.mtime desc
```</t>
  </si>
  <si>
    <t>Google Calendar</t>
  </si>
  <si>
    <t>GEVENT</t>
  </si>
  <si>
    <t>```gEvent
&gt; &gt; type: week
&gt; &gt; exclude: []
&gt; &gt; include: []
&gt; &gt; hourRange:
&gt; &gt;   - 6
&gt; &gt;   - 21
&gt; &gt; offset: 0
&gt; &gt; timespan: 5
&gt; &gt; showAllDay: true
&gt; &gt; navigation: true
&gt; &gt; ```</t>
  </si>
  <si>
    <t>```
diskpart
list disk
sel disk 0
list vol
assign letter=v
format V: /fs:fat32
bcdboot c:\\windows /s v: /f UEFI
```</t>
  </si>
  <si>
    <t>```
code
```</t>
  </si>
  <si>
    <t>CONSOLE</t>
  </si>
  <si>
    <t>```console
git clone https://github.com/jantic/DeOldify.git DeOldify
cd DeOldify
conda env create -f environment.yml
```</t>
  </si>
  <si>
    <t>```console
source activate deoldify
jupyter lab
```</t>
  </si>
  <si>
    <t>```
import os
directory = os.scandir('hello')
```</t>
  </si>
  <si>
    <t>```
entries = [it.name for it in directory]
print(entries)
```</t>
  </si>
  <si>
    <t>```
['.nomedia', '1.txt', '2.txt', '3.txt', '4.txt', '5.txt', 'others']
```</t>
  </si>
  <si>
    <t>```
with os.scandir('hello') as directory:
   for item in directory:
```</t>
  </si>
  <si>
    <t>```
if not item.name.startswith('.') and item.is_file():
    with open(item, mode="r+") as file:
        file_text = file.read()
```</t>
  </si>
  <si>
    <t>```
regex = re.compile('Wolrd')
file_text = regex.sub('World', file_text)
```</t>
  </si>
  <si>
    <t>```
file.seek(0)
file.write(file_text)
```</t>
  </si>
  <si>
    <t>```
import os, re
with os.scandir('hello') as directory:
   for item in directory:
      if not item.name.startswith('.') and item.is_file():
         with open(item, mode="r+") as file:
            file_text = file.read()
            regex = re.compile('Wolrd')
            file_text = regex.sub('World', file_text)
            file.seek(0)
            file.write(file_text)
```</t>
  </si>
  <si>
    <t>```
def do_PUT(self):  # WSGI name, so pylint: disable=invalid-name
  ...
```</t>
  </si>
  <si>
    <t>```
pylint --list-msgs
```</t>
  </si>
  <si>
    <t>```
pylint --help-msg=invalid-name
```</t>
  </si>
  <si>
    <t>```
def viking_cafe_order(spam: str, beans: str, eggs: str | None = None) -&gt; str:
    del beans, eggs  # Unused by vikings.
    return spam + spam + spam
```</t>
  </si>
  <si>
    <t>```
from sound.effects import echo
...
echo.EchoFilter(input, output, delay=0.7, atten=4)
```</t>
  </si>
  <si>
    <t>```
Yes:
  # Reference absl.flags in code with the complete name (verbose).
  import absl.flags
  from doctor.who import jodie
  _FOO = absl.flags.DEFINE_string(...)
```</t>
  </si>
  <si>
    <t>```
Yes:
  # Reference flags in code with just the module name (common).
  from absl import flags
  from doctor.who import jodie
  _FOO = flags.DEFINE_string(...)
```</t>
  </si>
  <si>
    <t>```
No:
  # Unclear what module the author wanted and what will be imported.  The actual
  # import behavior depends on external factors controlling sys.path.
  # Which possible jodie module did the author intend to import?
  import jodie
```</t>
  </si>
  <si>
    <t>```
    Yes:
      def connect_to_next_port(self, minimum: int) -&gt; int:
        """Connects to the next available port.
        Args:
          minimum: A port value greater or equal to 1024.
        Returns:
          The new minimum port.
        Raises:
          ConnectionError: If no available port is found.
        """
        if minimum &lt; 1024:
          # Note that this raising of ValueError is not mentioned in the doc
          # string's "Raises:" section because it is not appropriate to
          # guarantee this specific behavioral reaction to API misuse.
          raise ValueError(f'Min. port must be at least 1024, not {minimum}.')
        port = self._find_next_open_port(minimum)
        if port is None:
          raise ConnectionError(
              f'Could not connect to service on port {minimum} or higher.')
        # The code does not depend on the result of this assert.
        assert port &gt;= minimum, (
            f'Unexpected port {port} when minimum was {minimum}.')
        return port
    ```</t>
  </si>
  <si>
    <t>```
    No:
      def connect_to_next_port(self, minimum: int) -&gt; int:
        """Connects to the next available port.
        Args:
          minimum: A port value greater or equal to 1024.
        Returns:
          The new minimum port.
        """
        assert minimum &gt;= 1024, 'Minimum port must be at least 1024.'
        # The following code depends on the previous assert.
        port = self._find_next_open_port(minimum)
        assert port is not None
        # The type checking of the return statement relies on the assert.
        return port
    ```</t>
  </si>
  <si>
    <t>```
npm install @amcharts/amcharts5
npm install @amcharts/amcharts5-geodata
npm install @amcharts/amcharts5-fonts
```</t>
  </si>
  <si>
    <t>```
&lt;script src="https://cdn.amcharts.com/lib/5/index.js"&gt;&lt;/script&gt;
&lt;script src="https://cdn.amcharts.com/lib/5/xy.js"&gt;&lt;/script&gt;
&lt;script src="https://cdn.amcharts.com/lib/5/themes/Animated.js"&gt;&lt;/script&gt;
&lt;script src="https://cdn.amcharts.com/lib/5/locales/de_DE.js"&gt;&lt;/script&gt;
&lt;script src="https://cdn.amcharts.com/lib/5/geodata/germanyLow.js"&gt;&lt;/script&gt;
&lt;script src="https://cdn.amcharts.com/lib/5/fonts/notosans-sc.js"&gt;&lt;/script&gt;
```</t>
  </si>
  <si>
    <t>```
&lt;script src="https://cdn.amcharts.com/lib/version/5.3.7/index.js"&gt;&lt;/script&gt;
&lt;script src="https://cdn.amcharts.com/lib/version/5.3.7/xy.js"&gt;&lt;/script&gt;
&lt;script src="https://cdn.amcharts.com/lib/version/5.3.7/themes/Animated.js"&gt;&lt;/script&gt;
&lt;script src="https://cdn.amcharts.com/lib/version/5.3.7/locales/de_DE.js"&gt;&lt;/script&gt;
```</t>
  </si>
  <si>
    <t>```dataview
table Deadline
FROM #⚡ AND [[Art]]
SORT Deadline asc
```</t>
  </si>
  <si>
    <t>```dataview
table Status, Rating, author as Author
FROM #i AND [[Art]]
SORT file.mtime desc
```</t>
  </si>
  <si>
    <t>```dataview
table Created
FROM [[Art]] AND !#🦋 AND !#📥
SORT file.mtime desc
```</t>
  </si>
  <si>
    <t>```dataview
table Deadline
FROM #⚡ AND [[Astronomy]]
SORT Deadline asc
```</t>
  </si>
  <si>
    <t>```dataview
table Status, Rating, author as Author
FROM #i AND [[Astronomy]]
SORT file.mtime desc
```</t>
  </si>
  <si>
    <t>```dataview
table Created
FROM [[Astronomy]] AND !#🦋 AND !#📥
SORT file.mtime desc
```</t>
  </si>
  <si>
    <t>```
const url = require('url')const fs = require('fs')const path = require('path')
```</t>
  </si>
  <si>
    <t>```
function getInput(name) {   return (input &amp;&amp; input[name]) ? input[name] : dv.current().file.frontmatter[name]}
```</t>
  </si>
  <si>
    <t>```
let folderURI = getInput("folderURI")if (folderURI == undefined) {  dv.header(1, 'Error: folderURI not provided, e.g {folderURI:"file:///C:/"}')  return}
```</t>
  </si>
  <si>
    <t>```
let heading = getInput("heading")let filter = getInput("filter")
```</t>
  </si>
  <si>
    <t>```
let folderPath = url.fileURLToPath(folderURI)let folderItems = fs.readdirSync(folderPath)let folderItemsELinks = folderItems  .filter(item =&gt; (filter === undefined) || new RegExp(filter, 'g').test(item))  .map(itemName =&gt; {    let pathAsURL = url.pathToFileURL(folderPath + path.sep + itemName, "file:")    return `[${itemName}](${pathAsURL})`})
```</t>
  </si>
  <si>
    <t>```
if (heading) {  let folderELink = `[${heading}](${folderURI})`  dv.list([folderELink, folderItemsELinks])} else {  dv.list(folderItemsELinks)}
```</t>
  </si>
  <si>
    <t>```
```</t>
  </si>
  <si>
    <t>```
let sessionNumber = dv.current().file.name.slice(-2)let classFolder = "file:///C:/class_on_drawing_cats/";
```</t>
  </si>
  <si>
    <t>```
[  {folderName: "Provided", folderURI: classFolder + "/Provided/Week_" + sessionNumber},  {folderName: "Creations", folderURI: classFolder + "/Creations/Week_" + sessionNumber},  {folderName: "Videos", folderURI: classFolder + "/Week_" + sessionNumber}].forEach(element =&gt; dv.view("/views/folder_items_as_links", element));
```</t>
  </si>
  <si>
    <t>```dataview
TABLE file.ctime, length, rating, reviewed
FROM #movies
```</t>
  </si>
  <si>
    <t>```markdown
---
genre: "action"
reviewed: false
---
# Movie X
#movies
**Thoughts**:: It was decent.
**Rating**:: 6
[mood:: okay] | [length:: 2 hours]
```</t>
  </si>
  <si>
    <t>CODE</t>
  </si>
  <si>
    <t>```code
TABLE
FROM "06 Toolkit/XXXX"
WHERE file.name !="XXXX" // Change Directory
    AND !contains(file.path, "06 Toolkit/XXXX/MetaBindEmbeds")
SORT file.name ASC
LIMIT 40
```</t>
  </si>
  <si>
    <t>```dataview
TABLE without id
file.link as "List from 1-Projects"
FROM "1-Projects"
WHERE this.searchTerm != null
    AND this.searchTerm != ""
    AND !contains(file.path, "1-Projects/z_resources")
    AND (contains(lower(file.name), lower(this.searchTerm))
    OR contains(lower(file.tags), lower(this.searchTerm)))
SORT file.name ASC
```</t>
  </si>
  <si>
    <t>META-BIND</t>
  </si>
  <si>
    <t>```meta-bind
INPUT[text:searchTerm]
```</t>
  </si>
  <si>
    <t>META-BIND-BUTTON</t>
  </si>
  <si>
    <t>```meta-bind-button
label: 📥New NOTE
icon: ""
hidden: true
class: ""
tooltip: ""
id: snippet
style: default
actions:
  - type: createNote
    folderPath: 06 Toolkit/XXXX
    fileName: ""
    openNote: true
    openIfAlreadyExists: false
```</t>
  </si>
  <si>
    <t>```code
TABLE without id
file.link as "List from XXXX", // Change Title of your directory
FROM "06 Toolkit/XXXX" // Change Directory to your directory
WHERE this.searchTerm != null
    AND this.searchTerm != ""
    AND !contains(file.path, "06 Toolkit/XXXX/YourFolder") // Exclude Folders
    AND (contains(lower(file.name), lower(this.searchTerm))
    OR contains(lower(file.tags), lower(this.searchTerm)))
SORT file.name ASC
```</t>
  </si>
  <si>
    <t>```meta-bind-button
label: Play/Pause
icon: ""
hidden: false
class: ""
tooltip: ""
id: ""
style: primary
actions:
  - type: command
    command: media-extended:toggle-play
```</t>
  </si>
  <si>
    <t>MD</t>
  </si>
  <si>
    <t>```md
&gt;  &gt; [!note]
&gt;  &gt; Lorem ipsum dolor sit amet
&gt;  ```</t>
  </si>
  <si>
    <t>```dataview
TABLE WITHOUT ID (tag + "(" + length(rows.file.link) + ")") AS Tags, (rows.file.folder) AS Folder, (rows.file.link) AS Files
FROM ""
WHERE file.tags
FLATTEN file.tags AS tag
GROUP BY tag
SORT length(rows.file.link) DESC
```</t>
  </si>
  <si>
    <t>```dataview
TABLE WITHOUT ID (tag + "(" + length(rows.file.link) + ")") AS Tags, link(sort(rows.file.name)) AS Files
FROM ""
WHERE file.tags
FLATTEN file.tags AS tag
GROUP BY tag
SORT length(rows.file.link) DESC
```</t>
  </si>
  <si>
    <t>```dataview
TABLE WITHOUT ID (tag + "(" + length(rows.file.link) + ")") AS Tags
FROM ""
WHERE file.tags
FLATTEN file.tags AS tag
GROUP BY tag
SORT length(rows.file.link) DESC
```</t>
  </si>
  <si>
    <t>```
To Replace
  Status: "#⚡/🟧" (or anything inside the quotes!)
with...
  Status: ⚡/🟧
I use this search string:
  /Status: "#(.*)"/gm
and this replace string:
  Status: $1
```</t>
  </si>
  <si>
    <t>```
[User API Tokens | Slarsen2@gmail.com's Account | Cloudflare](https://dash.cloudflare.com/profile/authentication/management)
use:
/\[.*\]\(.*\)/gm
```</t>
  </si>
  <si>
    <t>```
\[\[[\s]*((&lt;%)[\s]*([\S]+)[\s]*(%&gt;)([\s]*)\]\])
and replace with $1
```</t>
  </si>
  <si>
    <t>```
Declare the following constant values:
	illChars = "!@#$%^&amp;*()+=\"\\/[]&lt;&gt;:`~"
	delChars = ".';_"
	illMsg = "The following characters are not allowed:" + illChars
	delMsg = delChars + " have been removed from the name. Please review before proceeding."
	dupMsg = "A person with this name already exists in idPhotos."
	idPhotos = "E:\\o2\\People\\idPhotos\\"
	snaps_dir = "D:\Dropbox\Snaps2\SwenDS\"
Step 1: Get the filename for last created PNG file in the dirSnap directory and store the result in a variable called imgFile
Step 2: Open a data entry window with the following layout:
	On the left side of the window display the image from imgFile.
	Constrain the image size to 200 pixels wide, while keeping the aspect ratio.
	Next to the picture, on the right side, allow entry of the following fields:
	Name: Text Box (50 characters max) assign to variable idName
	Gender: Radio Button (Male, Female) assign to variable idGender
	Buttons: Refresh, Cancel, Add
The Refresh button will perform Step 1, again and redraw the image in the window.
The Cancel button will exit the script.
The Add button will perform the following steps:
	Create a variable named newPer by appending ".md" to name field contents.
	Create a variable named newImg by appending ".png" to name field contents.
	Perform the following validation rules on the name field:
		if the name contains any characters in the illChars string:
			show a pop-up warning with the text in illMsg and an OK button.
			Restore the cursor to the Name Field and await input.
		if the name contains any charecters in the delChars string:
			remove them from the name and replace them with spaces.
			replace any strings of whitespace with a single space.
			Update the name field with the new value
			show a pop-up warning with the text in delMsg and an OK button.
			Restore the cursor to the Name Field and await input
		If a file named newPerson exists in the idPhotos directory:
			show a pop-up warning with the text in dupMsg and an OK button.
			Restore the cursor to the Name Field and await input
	If idGender is Female:
		copy imgFile to dirFinF
	otherwise:
		copy imgFile to dirFinM
```</t>
  </si>
  <si>
    <t>```
	from nameparser import HumanName
			Ask the user for a Directory Name and store it in dirName
			If the user does not put in a directory name set dirName to "G:\\dev\\personsCC\\pOrig\\m\\200\\"
			# Setup constants
	- AA
	 - Acquaintance
	 - Friend
	 - Family
	 - FamilyExtended
	 - FamilyRelated
	 - Medical
	 - Vendor
	 - Xmas
	 - Reference
	 - POI
			Gender = "Male"
			if dirName last char is "f" Then
				Gender = "Female"
			- Set findFields
				- findField[1] = "bioNameFull::"
				- findField[2] = "bioNameFirst::"
				- findField[3] = "bioNameMiddle::"
				- findField[4] = "bioNameLast::"
				- findField[5] = "bioTitle::"
				- findField[6] = "bioSuffix::"
				- findField[7] = "bioGender::"
				- findField[8] = "# &lt;% tp.file.title %&gt;"
				- findField[9] = "![[/People/&lt;% tp.file.title %&gt;].png]]"
			- for each filename in the directory dirName
				- replace all "_" with " " in the filename
				- baseFilename = filename w/o any file extension
				- name = HumanName(baseFilename)
				- Set knownFields
					- knownField[1] = BaseFilename
					- knownField[2] = name.first
					- knownField[3] = name.middle
					- knownField[4] = name.last
					- knownField[5] = name.title
					- knownField[6] = name.suffix
					- knownField[7] = Gender
					- knownField[8] = BaseFilename
					- knownField[9] = BaseFilename
				- Set newFields
					- newField[1] = BaseFilename
					- newField[2] = name.first
					- newField[3] = name.middle
					- newField[4] = name.last
					- newField[5] = name.title
					- newField[6] = name.suffix
					- newField[7] = Gender
					- newField[8] = BaseFilename
					- newField[9] = BaseFilename
				- read nextline from personsTemplate
					- for each Keyfield
						- If KeyField in nextline
							- nextline = keyField[i] + knownField[i]
				- write nextline to person
```</t>
  </si>
  <si>
    <t>```
			input  : "bioNameFull": "Mr Anthony R Von Fange III")
			output : {
			  "bioNameFull": "Mr Anthony R Von Fange III"
			   name.title =&gt; "bioSalutation": "Mr.",
			   name.first =&gt; "bioNameFirst": "Anthony",
			   name.middle =&gt; "bioNameMiddle": "R",
			   name.last =&gt; "bioNameLast": "Von Fange",
			   name.suffix =&gt; "bioNameSuffix": "III"
			}
			NOTE: Need to test how punctation is managed.
```</t>
  </si>
  <si>
    <t>```dataview
list from [[🗺️ Personal Knowledge Management MOC]] AND !outgoing([[🗺️ Personal Knowledge Management MOC]]) AND !#i and !#thoughts
```</t>
  </si>
  <si>
    <t>```dataview
table Tags as Type, Links, Created
from [[🗺️ Personal Knowledge Management MOC]] AND (#i)
sort Tags desc
```</t>
  </si>
  <si>
    <t>```dataview
table Created
from [[🗺️ Personal Knowledge Management MOC]] AND #thoughts
sort file.mtime desc
```</t>
  </si>
  <si>
    <t>```button
name Create An Area Sub-Note
type command
action QuickAdd: 🦋 Create Area Note
```</t>
  </si>
  <si>
    <t>```dataview
table Deadline
FROM #⚡ AND [[Brain2]]
SORT Deadline asc
```</t>
  </si>
  <si>
    <t>```dataview
table Status, Rating, author as Author
FROM #i AND [[Brain2]]
SORT file.mtime desc
```</t>
  </si>
  <si>
    <t>```dataview
table Created
FROM [[Brain2]] AND !#🦋 AND !#📥
SORT file.mtime desc
```</t>
  </si>
  <si>
    <t>```dataview
table Deadline
FROM #⚡ AND [[Cheatsheets]]
SORT Deadline asc
```</t>
  </si>
  <si>
    <t>```dataview
table Status, Rating, author as Author
FROM #i AND [[Cheatsheets]]
SORT file.mtime desc
```</t>
  </si>
  <si>
    <t>```dataview
table Created
FROM [[Cheatsheets]] AND !#🦋 AND !#📥
SORT file.mtime desc
```</t>
  </si>
  <si>
    <t>```
classes
cfg:
	runtime:
		v_ch_ver:
		vault_path
		cfg_ver: [seq, date]
		last_batch_no: [seq, date]
	constants:
		tab_seq = ['summ', 'props', 'tags', 'files', 'dups']
		Colors
		tbl_styles
		wb_themes
		xl_exec_path
		dflt_vault_path
		etc.  
	fixed_values:  
	    titles
		    RowId
		    IsVisible
	    formulae  
	options:   (Runtime Selections)
tab_def:  
	options:  
		use_file_spacers  
	    show_gridlines
	    isVisible?
	fld_values:  
		titles
		comments  
		formulae  
	tables:  
	    tbl1:
		    hdr  
			dtl
		tbl2:
			hdr
			dtl
	grid:
	borders:  
	    [range, thickness, inner/outer]
	    walls [htop, hmid, hbtm, vlft, vmid, vrgt] ???
	    test setting the same cell, one side at a time
	merge_ranges:
		[range, align]
	named_ranges:
		[range, name]
tab_data:    (data gathered in v_chk, dumped in spreadsheet)  
	props:  
		prop_id:  
			prop_val:
			    [file_list]  
		tags:  
			tag_id:  
				[file_list] 
	xyaml: 
		NonD:                  # (YAML Non-Dict)
			[file_list]
		BadY                   # (Can't Load YAML)
			[file_list]
		ErrY                   # (Can't Load YAML-Err)
			[file_list]
		NoFm                   # (No YAML)
			[file_list]
	dupfn:  
		file_name:  
			[dir_list] 	
	files:
		filename + prop_loc: (F/I)
			prop_id: (lowercased)
				[  prop_val[0] (act_key)   # For tracking case issues  
				 , prop_val[1]
				 , prop_val[2]...
				]
	codeb:
		filename + Code-Type: (D/J)
			Q-Type: (TABLE, LIST, TASK, CALENDAR) + Count:000
				[DQL]
				 , cb[1]
				 , cb[2]...
				]
	nests:
		plugin_id: ('kindle-sync'/'mapWithtag', 'Unknown')|filenm
			prop_id:  
				prop_val:
				    [file_list]  
	plugs:
		plugin_id: 
			prop_id:  
				prop_val:
				    [file_list]  
	tmplt:  
		prop_id:  
			prop_val:
			    [file_list]  
		tags:  
			tag_id:  
				[file_list] 
```</t>
  </si>
  <si>
    <t>```
# These will track the highest number of (props/tags/dups) per md_file
# and will be important when creating tables
max_props
mav_vals
max_tags
max_dups
tot_files
```</t>
  </si>
  <si>
    <t>```
The ANSI escape sequences you're looking for are the Select Graphic Rendition subset. All of these have the form
\033[XXXm
where XXX is a series of semicolon-separated parameters.
To say, make text red, bold, and underlined (we'll discuss many other options below) in C you might write:
printf("\033[31;1;4mHello\033[0m");
In C++ you'd use
std::cout&lt;&lt;"\033[31;1;4mHello\033[0m";
In Python3 you'd use
print("\033[31;1;4mHello\033[0m")
and in Bash you'd use
echo -e "\033[31;1;4mHello\033[0m"
where the first part makes the text red (31), bold (1), underlined (4) and the last part clears all this (0).
As described in the table below, there are a large number of text properties you can set, such as boldness, font, underlining, &amp;c.
Font Effects
Code 	Effect 	Note
0 	Reset / Normal 	all attributes off
1 	Bold or increased intensity
2 	Faint (decreased intensity) 	Not widely supported.
3 	Italic 	Not widely supported. Sometimes treated as inverse.
4 	Underline
5 	Slow Blink 	less than 150 per minute
6 	Rapid Blink 	MS-DOS ANSI.SYS; 150+ per minute; not widely supported
7 	[[reverse video]] 	swap foreground and background colors
8 	Conceal 	Not widely supported.
9 	Crossed-out 	Characters legible, but marked for deletion. Not widely supported.
10 	Primary(default) font
11–19 	Alternate font 	Select alternate font n-10
20 	Fraktur 	hardly ever supported
21 	Bold off or Double Underline 	Bold off not widely supported; double underline hardly ever supported.
22 	Normal color or intensity 	Neither bold nor faint
23 	Not italic, not Fraktur
24 	Underline off 	Not singly or doubly underlined
25 	Blink off
27 	Inverse off
28 	Reveal 	conceal off
29 	Not crossed out
30–37 	Set foreground color 	See color table below
38 	Set foreground color 	Next arguments are 5;&lt;n&gt; or 2;&lt;r&gt;;&lt;g&gt;;&lt;b&gt;, see below
39 	Default foreground color 	implementation defined (according to standard)
40–47 	Set background color 	See color table below
48 	Set background color 	Next arguments are 5;&lt;n&gt; or 2;&lt;r&gt;;&lt;g&gt;;&lt;b&gt;, see below
49 	Default background color 	implementation defined (according to standard)
51 	Framed
52 	Encircled
53 	Overlined
54 	Not framed or encircled
55 	Not overlined
60 	ideogram underline 	hardly ever supported
61 	ideogram double underline 	hardly ever supported
62 	ideogram overline 	hardly ever supported
63 	ideogram double overline 	hardly ever supported
64 	ideogram stress marking 	hardly ever supported
65 	ideogram attributes off 	reset the effects of all of 60-64
90–97 	Set bright foreground color 	aixterm (not in standard)
100–107 	Set bright background color 	aixterm (not in standard)
2-bit Colours
You've got this already!
4-bit Colours
The standards implementing terminal colours began with limited (4-bit) options. The table below lists the RGB values of the background and foreground colours used for these by a variety of terminal emulators:
Table of ANSI colours implemented by various terminal emulators
Using the above, you can make red text on a green background (but why?) using:
\033[31;42m
11 Colours (An Interlude)
In their book "Basic Color Terms: Their Universality and Evolution", Brent Berlin and Paul Kay used data collected from twenty different languages from a range of language families to identify eleven possible basic color categories: white, black, red, green, yellow, blue, brown, purple, pink, orange, and gray.
Berlin and Kay found that, in languages with fewer than the maximum eleven color categories, the colors followed a specific evolutionary pattern. This pattern is as follows:
    All languages contain terms for black (cool colours) and white (bright colours).
    If a language contains three terms, then it contains a term for red.
    If a language contains four terms, then it contains a term for either green or yellow (but not both).
    If a language contains five terms, then it contains terms for both green and yellow.
    If a language contains six terms, then it contains a term for blue.
    If a language contains seven terms, then it contains a term for brown.
    If a language contains eight or more terms, then it contains terms for purple, pink, orange or gray.
This may be why story Beowulf only contains the colours black, white, and red. Homer's Odyssey contains black almost 200 times and white about 100 times. Red appears 15 times, while yellow and green appear only 10 times. (More information here)
Differences between languages are also interesting: note the profusion of distinct colour words used by English vs. Chinese. However, digging deeper into these languages shows that each uses colour in distinct ways. (More information)
Chinese vs English colour names. Image adapted from "muyueh.com"
Generally speaking, the naming, use, and grouping of colours in human languages is fascinating. Now, back to the show.
8-bit (256) colours
Technology advanced, and tables of 256 pre-selected colours became available, as shown below.
256-bit colour mode for ANSI escape sequences
Using these above, you can make pink text like so:
\033[38;5;206m     #That is, \033[38;5;&lt;FG COLOR&gt;m
And make an early-morning blue background using
\033[48;5;57m      #That is, \033[48;5;&lt;BG COLOR&gt;m
And, of course, you can combine these:
\033[38;5;206;48;5;57m
The 8-bit colours are arranged like so:
Range 	Description
0x00-0x07 	standard colors (same as the 4-bit colours)
0x08-0x0F 	high intensity colors
0x10-0xE7 	6 × 6 × 6 cube (216 colors): 16 + 36 × r + 6 × g + b (0 ≤ r, g, b ≤ 5)
0xE8-0xFF 	grayscale from black to white in 24 steps
ALL THE COLOURS
Now we are living in the future, and the full RGB spectrum is available using:
\033[38;2;&lt;r&gt;;&lt;g&gt;;&lt;b&gt;m     #Select RGB foreground color
\033[48;2;&lt;r&gt;;&lt;g&gt;;&lt;b&gt;m     #Select RGB background color
So you can put pinkish text on a brownish background using
\033[38;2;255;82;197;48;2;155;106;0mHello
Support for "true color" terminals is listed here.
Much of the above is drawn from the Wikipedia page "ANSI escape code".
A Handy Script to Remind Yourself
Since I'm often in the position of trying to remember what colours are what, I have a handy script called: ~/bin/ansi_colours:
#!/usr/bin/env python3
for i in range(30, 37 + 1):
    print("\033[%dm%d\t\t\033[%dm%d" % (i, i, i + 60, i + 60))
print("\033[39m\\033[49m                 - Reset color")
print("\\033[2K                          - Clear Line")
print("\\033[&lt;L&gt;;&lt;C&gt;H or \\033[&lt;L&gt;;&lt;C&gt;f  - Put the cursor at line L and column C.")
print("\\033[&lt;N&gt;A                        - Move the cursor up N lines")
print("\\033[&lt;N&gt;B                        - Move the cursor down N lines")
print("\\033[&lt;N&gt;C                        - Move the cursor forward N columns")
print("\\033[&lt;N&gt;D                        - Move the cursor backward N columns\n")
print("\\033[2J                          - Clear the screen, move to (0,0)")
print("\\033[K                           - Erase to end of line")
print("\\033[s                           - Save cursor position")
print("\\033[u                           - Restore cursor position\n")
print("\\033[4m                          - Underline on")
print("\\033[24m                         - Underline off\n")
print("\\033[1m                          - Bold on")
print("\\033[21m                         - Bold off")
This prints
Simple ANSI colours
Share
Edit
Follow
edited Aug 16, 2024 at 16:42
enharmonic's user avatar
enharmonic
2,0802020 silver badges3030 bronze badges
answered Oct 19, 2015 at 4:49
Richard's user avatar
Richard
61.2k3939 gold badges194194 silver badges273273 bronze badges
    Is it possible to combine 8-bit and bold? I'm using the sequence \033[38;05;34m to get a green tone, but I can't find a way to combine this with bold face. –
    giusti
    Commented Apr 5, 2018 at 13:07
    6
    @giusti: Both echo -e "\033[38;05;34;1mHi" and echo -e "\033[38;05;34m\033[1mHi" worked for me, though anti-aliasing font effects did cause the appearance of the colour to change slightly under bolding in the terminal I was testing this on. –
    Richard
    Commented Apr 12, 2018 at 16:36
    1
    @Richard Yeah, this works. Thank you! The trick was just putting the bold flag after the color. –
    giusti
    Commented Apr 12, 2018 at 16:39
    8
    The SGR (\033[) codes beginning with 38 and 48 ought to be separated with the otherwise reserved : as a sub-separator although this is not entirely clear from the primary sources at: ecma-international.org/publications/files/ECMA-ST/Ecma-048.pdf and itu.int/rec/… . Also some interpretations forget the color space Id in the 2 (16M-color RGB)/3 (16M-color CMY) /4 (??? CMYK) forms - e.g. it should be \033[38:2::255:255:255m for a White 16M foreground and not \033[38:2:255:255:255m ! –
    SlySven
    Commented Dec 19, 2018 at 23:37
1
@SlySven is correct. \033[38;2;&lt;r&gt;;&lt;g&gt;;&lt;b&gt;m is a de-facto standard because xterm and kconsole were the first to implement it that way, but \033[38:2::&lt;r&gt;:&lt;g&gt;:&lt;b&gt;m is the bona-fide standard. Many terminal emulators support both forms (or are moving to support both) but not all of them do/will. It’s also worth noting that some emulators (xterm included) only approximate (s?)RGB color using the old 256-color palette, so full spectrum isn’t always available. YMMV. –
Mark G.
Commented May 2, 2019 at 5:08
1
You briefly mention bad foreground and background color combinations. I just concluded an interesting study on terminal text colors that focuses on that very topic: cubicspot.blogspot.com/2019/05/… –
CubicleSoft
Commented May 2, 2019 at 15:41
3
The reason I go on about this is that a project Mudlet I code for has to handle both forms and I recently got up to my elbows in this to get it to work better... –
SlySven
Commented May 6, 2019 at 16:42
1
@SlySven: I'd welcome an edit to the answer if you feel you can improve it. –
Richard
Commented May 6, 2019 at 18:13
3
Off topic (and 4 years later), but your interlude reminded me of this response ( pfoley.public.iastate.edu/Decleapyear.htm ) to a "bug" in VMS some time back. I hope you enjoy the read. –
user3742898
Commented May 16, 2019 at 18:12
@user3742898 I did. –
Sebastian Stark
Commented May 28, 2019 at 19:17
28
I just wanted to find a list of ANSI colours and spent way too much time with reading articles on "basic colour terms". Thanks for the great distraction! :) –
mzuther is on OpenAI strike
Commented Jan 3, 2020 at 18:57
3
Wow, what a nice and complete overview. Thank you for taking the time to write this down! Enjoyed it a lot. –
Hoov
Commented Feb 22, 2020 at 2:32
2
@AnchithAcharya: If you check the Font Effects table, you'll see that \033[38; has a form \033[38;5;&lt;n&gt;m as well as a ``\033[38;&lt;r&gt;;&lt;g&gt;;&lt;b&gt;m` form. 5 is not a command. –
Richard
Commented Apr 10, 2020 at 16:23
@Richard Oops! Sorry, didn't see the third column as I'm on my phone. –
Anchith Acharya
Commented Apr 11, 2020 at 8:03
1
For Python 3 –
Sid110307
Commented Dec 12, 2021 at 14:34
2
I've seen it stated before that the Bible doesn't contain blue. I'm not a Bible scholar but I did a search and blue is referenced many times early in the OT in the NIV and KJV translations. I checked the original Hebrew text for those verses, and again I'm not a Hebrew scholar, but the word used "תְּכֵלֶת" appears to translate to blue using an online dictionary. Just my $0.02 –
Greg H
Commented Mar 16, 2022 at 19:38
4
Nice fact-checking, @GregH. Tekhelet is a blue dye (and the Hebrew word for "blue"), referenced 49 times in the Hebrew bible. See also Blue in Judaism. –
Adam Katz
Commented Apr 7, 2022 at 18:52
I think you mean "1-bit color". 1-bit is equal to 2 options (black and white), 2-bit color would be 4 colors. (like how 4-bit color is 16 distinct colors) –
user202729
Commented Jul 27, 2022 at 15:04
Is there a proper mimetype to send along as a webserver, such that “ANSI colored” text gets properly rendered in the browser? (and not a galore of [,m,;s in black and white...) –
Frank N
Commented Aug 19, 2022 at 10:06
@Frank: I don't think so. This is for terminals. Browsers use HTML. –
Richard
Commented Aug 19, 2022 at 14:57
@user3742898 What bug is that? Sounds like probably an interesting story being referenced here, but pfoley.public.iastate.edu/Decleapyear.htm is NXDOMAIN and web.archive.org/web/20220000000000*/pfoley.public.iastate.edu/Decleapyear.htm is not showing a page with the content. –
TOOGAM
Commented Oct 17, 2022 at 12:53
2
I like that you spelled colour correctly –
ycomp
Commented May 9, 2023 at 13:45
1
That is the best description I have found in one place. The Internet has been waiting for this description for ~40 years since 1978. (Also along with other answers, this page will be my goto page for ANSI codes for terminals, after using many other ones) –
Sohail Si
Commented Jun 4, 2024 at 14:49
I considered editing to add the PowerShell example, but it seems that SO does not support syntax highlighting for PowerShell, so maybe it wouldn't be welcome. :/ Here in a comment instead: ps $e = [char] 0x1b; Write-Host "${e}[31;1;4mHello${e}[0m" –
jazzdelightsme
Commented Jun 15, 2024 at 2:07
    @SohailSi Same here, I think this write up is excellent. –
    TJ Bandrowsky
    Commented Aug 14, 2024 at 16:45
    Best explanation there is, and super helpful. –
    Joe
    Commented Oct 28, 2024 at 23:11
Add a comment
45
When you write a ANSI escape code \033[&lt;color&gt;m, replace the &lt;color&gt; with any of the color codes below. For instance, \033[31m would be red text color:
Color 	Example 	Text 	Background 	Bright Text 	Bright Background
Black 	Black 	30 	40 	90 	100
Red 	Red 	31 	41 	91 	101
Green 	Green 	32 	42 	92 	102
Yellow 	Yellow 	33 	43 	93 	103
Blue 	Blue 	34 	44 	94 	104
Magenta 	Magenta 	35 	45 	95 	105
Cyan 	Cyan 	36 	46 	96 	106
White 	White 	37 	47 	97 	107
Default 		39 	49 	99 	109
This is a condensed version of a full table you can find here.
Also, remember to use \033[0m every time you want to revert back to the default terminal text style. Otherwise, any color or styling may spill over and into other terminal messages.
For effects, the codes are:
Effect 	On 	Off 	Example
Bold 	1 	21
Dim 	2 	22
Underline 	4 	24
Blink 	5 	25
Reverse 	7 	27
Hide 	8 	28
I recommend these articles to explore further:
    https://notes.burke.libbey.me/ansi-escape-codes/
    https://www.lihaoyi.com/post/BuildyourownCommandLinewithANSIescapecodes.html
PS: In full disclosure, I'm the author of the Colorist package. Colorist is lightweight and makes it easy to print colorful text in many terminals. Simply install the package with pip install colorist and type:
from colorist import Color
print(f"Only {Color.CYAN}this part{Color.OFF} is in colour")
Only this part is in colour
Moreover, Colorist also supports color defined as RGB, HSL or Hex if your terminal supports advanced ANSI colors:
from colorist import ColorRGB, BgColorRGB
dusty_pink = ColorRGB(194, 145, 164)
bg_steel_blue = BgColorRGB(70, 130, 180)
print(f"I want to use {dusty_pink}dusty pink{dusty_pink.OFF} and {bg_steel_blue}steel blue{bg_steel_blue.OFF} colors inside this paragraph")
Examples of RGB color in terminal
from colorist import ColorHSL, BgColorHSL
mustard_green = ColorHSL(60, 56, 43)
bg_steel_gray = BgColorHSL(190, 2, 49)
print(f"I want to use {mustard_green}mustard green{mustard_green.OFF} and {bg_steel_gray}steel blue{bg_steel_gray.OFF} colors inside this paragraph")
Examples of HSL color in terminal
from colorist import ColorHex, BgColorHex
watermelon_red = ColorHex("#ff5733")
bg_mint_green = BgColorHex("#99ff99")
print(f"I want to use {watermelon_red}watermelon pink{watermelon_red.OFF} and {bg_mint_green}mint green{bg_mint_green.OFF} colors inside this paragraph")
Examples of Hex color in terminal
More options with Colorist:
Foreground colors
Background colors
Effects
Share
Edit
Follow
edited Oct 29, 2024 at 17:24
answered Apr 11, 2023 at 12:19
Jakob Bagterp's user avatar
Jakob Bagterp
1,2861111 silver badges1818 bronze badges
Add a comment
28
How about:
ECMA-48 - Control Functions for Coded Character Sets, 5th edition (June 1991) - A standard defining the color control codes, that is apparently supported also by xterm.
SGR 38 and 48 were originally reserved by ECMA-48, but were fleshed out a few years later in a joint ITU, IEC, and ISO standard, which comes in several parts and which (amongst a whole lot of other things) documents the SGR 38/48 control sequences for direct colour and indexed colour:
    Information technology — Open Document Architecture (ODA) and interchange format: Document structures. T.412. International Telecommunication Union.
    Information technology — Open Document Architecture (ODA) and interchange format: Character content architectures. T.416. International Telecommunication Union.
    Information technology— Open Document Architecture (ODA) and Interchange Format: Character content architectures. ISO/IEC 8613-6:1994. International Organization for Standardization.
There's a column for xterm in this table on the Wikipedia page for ANSI escape codes
Share
Edit
Follow
edited May 8, 2024 at 9:14
Richard's user avatar
Richard
109k2121 gold badges210210 silver badges273273 bronze badges
answered Jan 30, 2011 at 10:43
sinelaw's user avatar
sinelaw
16.6k33 gold badges5555 silver badges8181 bronze badges
    ECMA-48 does not define he ESC[38.. color control codes. –
    stevea
    Commented Apr 24, 2023 at 7:05
Add a comment
8
For these who don't get proper results other than mentioned languages, if you're using C# to print a text into console(terminal) window you should replace "\033" with "\x1b". In Visual Basic it would be Chrw(27).
Share
Edit
Follow
answered May 23, 2019 at 14:32
HolyRandom's user avatar
HolyRandom
6711 silver badge1313 bronze badges
    In Java: (char) 27 or "\u001b" –
    Jesse Glick
    Commented Oct 13, 2022 at 21:31
    2
    \033 or just \33 works fine in Java, the same way as in many other languages. –
    Holger
    Commented Nov 4, 2022 at 16:07
    I was just typing the same thing. \033 is octal base, \0x1b is hex base, and 27 is decimal base. They all mean the same thing but \033 is a C construct going way back, and other languages often follow suit in string literals. –
    TJ Bandrowsky
    Commented Aug 14, 2024 at 16:43
Add a comment
6
It's related absolutely to your terminal. VTE doesn't support blink, If you use gnome-terminal, tilda, guake, terminator, xfce4-terminal and so on according to VTE, you won't have blink.
If you use or want to use blink on VTE, you have to use xterm.
You can use infocmp command with terminal name:
#infocmp vt100
#infocmp xterm
#infocmp vte
For example :
# infocmp vte
#   Reconstructed via infocmp from file: /usr/share/terminfo/v/vte
vte|VTE aka GNOME Terminal,
    am, bce, mir, msgr, xenl,
    colors#8, cols#80, it#8, lines#24, ncv#16, pairs#64,
    acsc=``aaffggiijjkkllmmnnooppqqrrssttuuvvwwxxyyzz{{||}}~~,
    bel=^G, bold=\E[1m, civis=\E[?25l, clear=\E[H\E[2J,
    cnorm=\E[?25h, cr=^M, csr=\E[%i%p1%d;%p2%dr,
    cub=\E[%p1%dD, cub1=^H, cud=\E[%p1%dB, cud1=^J,
    cuf=\E[%p1%dC, cuf1=\E[C, cup=\E[%i%p1%d;%p2%dH,
    cuu=\E[%p1%dA, cuu1=\E[A, dch=\E[%p1%dP, dch1=\E[P,
    dim=\E[2m, dl=\E[%p1%dM, dl1=\E[M, ech=\E[%p1%dX, ed=\E[J,
    el=\E[K, enacs=\E)0, home=\E[H, hpa=\E[%i%p1%dG, ht=^I,
    hts=\EH, il=\E[%p1%dL, il1=\E[L, ind=^J, invis=\E[8m,
    is2=\E[m\E[?7h\E[4l\E&gt;\E7\E[r\E[?1;3;4;6l\E8,
    kDC=\E[3;2~, kEND=\E[1;2F, kHOM=\E[1;2H, kIC=\E[2;2~,
    kLFT=\E[1;2D, kNXT=\E[6;2~, kPRV=\E[5;2~, kRIT=\E[1;2C,
    kb2=\E[E, kbs=\177, kcbt=\E[Z, kcub1=\EOD, kcud1=\EOB,
    kcuf1=\EOC, kcuu1=\EOA, kdch1=\E[3~, kend=\EOF, kf1=\EOP,
    kf10=\E[21~, kf11=\E[23~, kf12=\E[24~, kf13=\E[1;2P,
    kf14=\E[1;2Q, kf15=\E[1;2R, kf16=\E[1;2S, kf17=\E[15;2~,
    kf18=\E[17;2~, kf19=\E[18;2~, kf2=\EOQ, kf20=\E[19;2~,
    kf21=\E[20;2~, kf22=\E[21;2~, kf23=\E[23;2~,
    kf24=\E[24;2~, kf25=\E[1;5P, kf26=\E[1;5Q, kf27=\E[1;5R,
    kf28=\E[1;5S, kf29=\E[15;5~, kf3=\EOR, kf30=\E[17;5~,
    kf31=\E[18;5~, kf32=\E[19;5~, kf33=\E[20;5~,
    kf34=\E[21;5~, kf35=\E[23;5~, kf36=\E[24;5~,
    kf37=\E[1;6P, kf38=\E[1;6Q, kf39=\E[1;6R, kf4=\EOS,
    kf40=\E[1;6S, kf41=\E[15;6~, kf42=\E[17;6~,
    kf43=\E[18;6~, kf44=\E[19;6~, kf45=\E[20;6~,
    kf46=\E[21;6~, kf47=\E[23;6~, kf48=\E[24;6~,
    kf49=\E[1;3P, kf5=\E[15~, kf50=\E[1;3Q, kf51=\E[1;3R,
    kf52=\E[1;3S, kf53=\E[15;3~, kf54=\E[17;3~,
    kf55=\E[18;3~, kf56=\E[19;3~, kf57=\E[20;3~,
    kf58=\E[21;3~, kf59=\E[23;3~, kf6=\E[17~, kf60=\E[24;3~,
    kf61=\E[1;4P, kf62=\E[1;4Q, kf63=\E[1;4R, kf7=\E[18~,
    kf8=\E[19~, kf9=\E[20~, kfnd=\E[1~, khome=\EOH,
    kich1=\E[2~, kind=\E[1;2B, kmous=\E[M, knp=\E[6~,
    kpp=\E[5~, kri=\E[1;2A, kslt=\E[4~, meml=\El, memu=\Em,
    op=\E[39;49m, rc=\E8, rev=\E[7m, ri=\EM, ritm=\E[23m,
    rmacs=^O, rmam=\E[?7l, rmcup=\E[2J\E[?47l\E8, rmir=\E[4l,
    rmkx=\E[?1l\E&gt;, rmso=\E[m, rmul=\E[m, rs1=\Ec,
    rs2=\E7\E[r\E8\E[m\E[?7h\E[!p\E[?1;3;4;6l\E[4l\E&gt;\E[?1000l\E[?25h,
    sc=\E7, setab=\E[4%p1%dm, setaf=\E[3%p1%dm,
    sgr=\E[0%?%p6%t;1%;%?%p2%t;4%;%?%p5%t;2%;%?%p7%t;8%;%?%p1%p3%|%t;7%;m%?%p9%t\016%e\017%;,
    sgr0=\E[0m\017, sitm=\E[3m, smacs=^N, smam=\E[?7h,
    smcup=\E7\E[?47h, smir=\E[4h, smkx=\E[?1h\E=, smso=\E[7m,
    smul=\E[4m, tbc=\E[3g, u6=\E[%i%d;%dR, u7=\E[6n,
    u8=\E[?%[;0123456789]c, u9=\E[c, vpa=\E[%i%p1%dd,
Share
Edit
Follow
edited Oct 5, 2020 at 13:08
Community's user avatar
CommunityBot
111 silver badge
answered Mar 16, 2016 at 20:03
PersianGulf's user avatar
PersianGulf
2,93566 gold badges5050 silver badges6969 bronze badges
    VTE 0.52 / gnome-terminal 3.28 adds support for blinking text (and so it will work in other VTE-based emulators too). –
    egmont
    Commented Mar 11, 2018 at 21:33
Add a comment
4
Here is some code that shows all escape sequences that have to do with color. You might need to get the actual escape character in order for the code to work.
@echo off
:top
cls
echo [101;93m STYLES [0m
echo ^&lt;ESC^&gt;[0m [0mReset[0m
echo ^&lt;ESC^&gt;[1m [1mBold[0m
echo ^&lt;ESC^&gt;[4m [4mUnderline[0m
echo ^&lt;ESC^&gt;[7m [7mInverse[0m
echo.
echo [101;93m NORMAL FOREGROUND COLORS [0m
echo ^&lt;ESC^&gt;[30m [30mBlack[0m (black)
echo ^&lt;ESC^&gt;[31m [31mRed[0m
echo ^&lt;ESC^&gt;[32m [32mGreen[0m
echo ^&lt;ESC^&gt;[33m [33mYellow[0m
echo ^&lt;ESC^&gt;[34m [34mBlue[0m
echo ^&lt;ESC^&gt;[35m [35mMagenta[0m
echo ^&lt;ESC^&gt;[36m [36mCyan[0m
echo ^&lt;ESC^&gt;[37m [37mWhite[0m
echo.
echo [101;93m NORMAL BACKGROUND COLORS [0m
echo ^&lt;ESC^&gt;[40m [40mBlack[0m
echo ^&lt;ESC^&gt;[41m [41mRed[0m
echo ^&lt;ESC^&gt;[42m [42mGreen[0m
echo ^&lt;ESC^&gt;[43m [43mYellow[0m
echo ^&lt;ESC^&gt;[44m [44mBlue[0m
echo ^&lt;ESC^&gt;[45m [45mMagenta[0m
echo ^&lt;ESC^&gt;[46m [46mCyan[0m
echo ^&lt;ESC^&gt;[47m [47mWhite[0m (white)
echo.
echo [101;93m STRONG FOREGROUND COLORS [0m
echo ^&lt;ESC^&gt;[90m [90mWhite[0m
echo ^&lt;ESC^&gt;[91m [91mRed[0m
echo ^&lt;ESC^&gt;[92m [92mGreen[0m
echo ^&lt;ESC^&gt;[93m [93mYellow[0m
echo ^&lt;ESC^&gt;[94m [94mBlue[0m
echo ^&lt;ESC^&gt;[95m [95mMagenta[0m
echo ^&lt;ESC^&gt;[96m [96mCyan[0m
echo ^&lt;ESC^&gt;[97m [97mWhite[0m
echo.
echo [101;93m STRONG BACKGROUND COLORS [0m
echo ^&lt;ESC^&gt;[100m [100mBlack[0m
echo ^&lt;ESC^&gt;[101m [101mRed[0m
echo ^&lt;ESC^&gt;[102m [102mGreen[0m
echo ^&lt;ESC^&gt;[103m [103mYellow[0m
echo ^&lt;ESC^&gt;[104m [104mBlue[0m
echo ^&lt;ESC^&gt;[105m [105mMagenta[0m
echo ^&lt;ESC^&gt;[106m [106mCyan[0m
echo ^&lt;ESC^&gt;[107m [107mWhite[0m
echo.
echo [101;93m COMBINATIONS [0m
echo ^&lt;ESC^&gt;[31m                     [31mred foreground color[0m
echo ^&lt;ESC^&gt;[7m                      [7minverse foreground ^&lt;-^&gt; background[0m
echo ^&lt;ESC^&gt;[7;31m                   [7;31minverse red foreground color[0m
echo ^&lt;ESC^&gt;[7m and nested ^&lt;ESC^&gt;[31m [7mbefore [31mnested[0m
echo ^&lt;ESC^&gt;[31m and nested ^&lt;ESC^&gt;[7m [31mbefore [7mnested[0m
pause &gt; nul
goto top
Share
Edit
Follow
answered Jul 23, 2022 at 2:31
NotePro.bat's user avatar
NotePro.bat
8655 bronze badges
    Is this a telnet script or something? –
    arcanemachine
    Commented Apr 12, 2023 at 2:28
    3
    @arcanemachine that's batch (windows scripting language) –
    mazunki
    Commented Sep 12, 2023 at 12:32
Add a comment
4
If you're using TCC shell (and this only requires modifying a line or two to work with CMD, since i use %@CHAR, which is TCC-specific), here's a handy script that lets you test most ansi via convenient environment variables. Here's my results with Windows Terminal, which supports a lot, but not all, of this, including double-height and wide lines:
enter image description here
rem ANSI: Initialization
        rem set up basic beginning of all ansi codes
            set ESCAPE=%@CHAR[27]
            set ANSI_ESCAPE=%@CHAR[27][
                set ANSIESCAPE=%ANSI_ESCAPE%
rem ANSI: special stuff: reset
            set ANSI_RESET=%ANSI_ESCAPE%0m
                set ANSIRESET=%ANSI_RESET%
rem ANSI: special stuff: position save/restore
            set ANSI_POSITION_SAVE=%ESCAPE%7%ANSI_ESCAPE%s                  %+ REM we do this the DEC way, then the SCO way
            set ANSI_POSITION_RESTORE=%ESCAPE%8%ANSI_ESCAPE%u               %+ REM we do this the DEC way, then the SCO way
                set ANSI_SAVE_POSITION=%ANSI_POSITION_SAVE%
                set ANSI_RESTORE_POSITION=%ANSI_POSITION_RESTORE%
            set ANSI_POSITION_REQUEST=%ANSI_ESCAPE%6n                       %+ REM request cursor position (reports as ESC[#;#R)
                set ANSI_REQUEST_POSITION=%ANSI_POSITION_REQUEST%
rem ANSI: position movement
        rem To Home
            set ANSI_HOME=%ANSI_ESCAPE%H                                    %+ REM moves cursor to home position (0, 0)
                set ANSI_MOVE_HOME=%ANSI_HOME%
                set ANSI_MOVE_TO_HOME=%ANSI_HOME%
        rem To a specific position
            function ANSI_MOVE_TO_POS1=`%@CHAR[27][%1;%2H`                  %+ rem moves cursor to line #, column #\_____ both work
            function ANSI_MOVE_TO_POS2=`%@CHAR[27][%1;%2f`                  %+ rem moves cursor to line #, column #/
                function ANSI_MOVE_POS=`%@CHAR[27][%1;%2H`                  %+ rem alias
                function ANSI_MOVE=`%@CHAR[27][%1;%2H`                      %+ rem alias
            function ANSI_MOVE_TO_COL=`%@CHAR[27][%1G`                      %+ rem moves cursor to column #
            function ANSI_MOVE_TO_ROW=`%@CHAR[27][%1H`                      %+ rem unfortunately does not preserve column position! not possible! cursor request ansi code return value cannot be captured
        rem Up/Down/Left/Right
            set ANSI_MOVE_UP_1=%ESCAPE%M                                    %+ rem moves cursor one line up, scrolling if needed
                set ANSI_MOVE_UP_ONE=%ANSI_MOVE_UP_1%                       %+ rem alias
            function ANSI_MOVE_UP=`%@CHAR[27][%1A`                          %+ rem moves cursor up # lines
                function ANSI_UP=`%@CHAR[27][%1A`                           %+ rem alias
            function ANSI_MOVE_DOWN=`%@CHAR[27][%1B`                        %+ rem moves cursor down # lines
                function ANSI_DOWN=`%@CHAR[27][%1B`                         %+ rem alias
            function ANSI_MOVE_RIGHT=`%@CHAR[27][%1C`                       %+ rem moves cursor right # columns
                function ANSI_RIGHT=`%@CHAR[27][%1C`                        %+ rem alias
            function ANSI_MOVE_LEFT=`%@CHAR[27][%1D`                        %+ rem moves cursor left # columns
                function ANSI_LEFT=`%@CHAR[27][%1D`                         %+ rem alias
        rem Line-based
            function ANSI_MOVE_LINES_DOWN=`%@CHAR[27][%1E`                  %+ rem moves cursor to beginning of next line, # lines down
            function ANSI_MOVE_LINES_UP=`%@CHAR[27][%1F`                    %+ rem moves cursor to beginning of previous line, # lines up
rem ANIS: colors
        rem custom rgb colors
             set ANSI_RGB_PREFIX=%ANSI_ESCAPE%38;2;
             set ANSI_RGB_SUFFIX=m
             function ANSI_RGB=`%@CHAR[27][38;2;%1;%2;%3m`
                 function ANSI_FG=`%@CHAR[27][38;2;%1;%2;%3m`               %+ rem alias
                 function ANSI_RGB_FG=`%@CHAR[27][38;2;%1;%2;%3m`           %+ rem alias
                 function ANSI_FG_RGB=`%@CHAR[27][38;2;%1;%2;%3m`           %+ rem alias
             function ANSI_RGB_BG=`%@CHAR[27][48;2;%1;%2;%3m`
                 function ANSI_BG=`%@CHAR[27][48;2;%1;%2;%3m`               %+ rem alias
                 function ANSI_BG_RGB=`%@CHAR[27][48;2;%1;%2;%3m`           %+ rem alias
        rem Foreground Colors
            set ANSI_BLACK=%ANSI_ESCAPE%30m
            set ANSI_RED=%ANSI_ESCAPE%31m
            set ANSI_GREEN=%ANSI_ESCAPE%32m
            set ANSI_YELLOW=%ANSI_ESCAPE%33m
            set ANSI_BLUE=%ANSI_ESCAPE%34m
            set ANSI_MAGENTA=%ANSI_ESCAPE%35m
            set ANSI_CYAN=%ANSI_ESCAPE%36m
            set ANSI_WHITE=%ANSI_ESCAPE%37m
            set ANSI_GRAY=%ANSI_ESCAPE%90m
            set ANSI_GREY=%ANSI_ESCAPE%90m
            set ANSI_BRIGHT_RED=%ANSI_ESCAPE%91m
            set ANSI_BRIGHT_GREEN=%ANSI_ESCAPE%92m
            set ANSI_BRIGHT_YELLOW=%ANSI_ESCAPE%93m
            set ANSI_BRIGHT_BLUE=%ANSI_ESCAPE%94m
            set ANSI_BRIGHT_MAGENTA=%ANSI_ESCAPE%95m
            set ANSI_BRIGHT_CYAN=%ANSI_ESCAPE%96m
            set ANSI_BRIGHT_WHITE=%ANSI_ESCAPE%97m
        rem Background Colors
            set ANSI_BLACKGROUND_BLACK=%@ANSI_BG[0,0,0]
            set ANSI_BACKGROUND_BLACK_NON_EXPERIMENTAL=%ANSI_ESCAPE%40m
            set ANSI_BACKGROUND_RED=%ANSI_ESCAPE%41m
            set ANSI_BACKGROUND_GREEN=%ANSI_ESCAPE%42m
            set ANSI_BACKGROUND_YELLOW=%ANSI_ESCAPE%43m
            set ANSI_BACKGROUND_BLUE=%ANSI_ESCAPE%44m
            set ANSI_BACKGROUND_MAGENTA=%ANSI_ESCAPE%45m
            set ANSI_BACKGROUND_CYAN=%ANSI_ESCAPE%46m
            set ANSI_BACKGROUND_WHITE=%ANSI_ESCAPE%47m
            set ANSI_BACKGROUND_GREY=%ANSI_ESCAPE%100m
            set ANSI_BACKGROUND_GRAY=%ANSI_ESCAPE%100m
            set ANSI_BACKGROUND_BRIGHT_RED=%ANSI_ESCAPE%101m
            set ANSI_BACKGROUND_BRIGHT_GREEN=%ANSI_ESCAPE%102m
            set ANSI_BACKGROUND_BRIGHT_YELLOW=%ANSI_ESCAPE%103m
            set ANSI_BACKGROUND_BRIGHT_BLUE=%ANSI_ESCAPE%104m
            set ANSI_BACKGROUND_BRIGHT_MAGENTA=%ANSI_ESCAPE%105m
            set ANSI_BACKGROUND_BRIGHT_CYAN=%ANSI_ESCAPE%106m
            set ANSI_BACKGROUND_BRIGHT_WHITE=%ANSI_ESCAPE%107m
REM As of Windows Terminal we can now actually display italic characters
            REM 0m=reset, 1m=bold, 2m=faint, 3m=italic, 4m=underline, 5m=blink slow, 6m=blink fast, 7m=reverse, 8m=conceal, 9m=strikethrough
            set ANSI_BOLD=%ANSI_ESCAPE%1m
            set ANSI_BOLD_ON=%ANSI_BOLD%
            set ANSI_BOLD_OFF=%ANSI_ESCAPE%22m
            set      BOLD_ON=%ANSI_BOLD_ON%
            set      BOLD_OFF=%ANSI_BOLD_OFF%
            set      BOLD=%BOLD_ON%
            set ANSI_FAINT=%ANSI_ESCAPE%2m
            set ANSI_FAINT_ON=%ANSI_FAINT%
            set ANSI_FAINT_OFF=%ANSI_ESCAPE%22m
            set      FAINT_ON=%ANSI_FAINT_ON%
            set      FAINT_OFF=%ANSI_FAINT_OFF%
            set      FAINT=%FAINT_ON%
            set ANSI_ITALICS=%ANSI_ESCAPE%3m
            set ANSI_ITALICS_ON=%ANSI_ITALICS%
            set ANSI_ITALICS_OFF=%ANSI_ESCAPE%23m
            set      ITALICS_ON=%ANSI_ITALICS_ON%
            set      ITALICS_OFF=%ANSI_ITALICS_OFF%
            set      ITALICS=%ITALICS_ON%
            set ANSI_UNDERLINE=%ANSI_ESCAPE%4m
            set ANSI_UNDERLINE_ON=%ANSI_UNDERLINE%
            set ANSI_UNDERLINE_OFF=%ANSI_ESCAPE%24m
            set      UNDERLINE_ON=%ANSI_UNDERLINE_ON%
            set      UNDERLINE_OFF=%ANSI_UNDERLINE_OFF%
            set      UNDERLINE=%UNDERLINE_ON%
            set ANSI_OVERLINE=%ANSI_ESCAPE%53m
            set ANSI_OVERLINE_ON=%ANSI_OVERLINE%
            set ANSI_OVERLINE_OFF=%ANSI_ESCAPE%55m
            set      OVERLINE_ON=%ANSI_OVERLINE_ON%
            set      OVERLINE_OFF=%ANSI_OVERLINE_OFF%
            set      OVERLINE=%OVERLINE_ON%
            set ANSI_DOUBLE_UNDERLINE=%ANSI_ESCAPE%21m
            set ANSI_DOUBLE_UNDERLINE_ON=%ANSI_DOUBLE_UNDERLINE%
            set ANSI_DOUBLE_UNDERLINE_OFF=%ANSI_ESCAPE%24m
            set      DOUBLE_UNDERLINE_ON=%ANSI_DOUBLE_UNDERLINE_ON%
            set      DOUBLE_UNDERLINE_OFF=%ANSI_DOUBLE_UNDERLINE_OFF%
            set      DOUBLE_UNDERLINE=%DOUBLE_UNDERLINE_ON%
                set ANSI_UNDERLINE_DOUBLE=%ANSI_DOUBLE_UNDERLINE%
                set ANSI_UNDERLINE_DOUBLE_ON=%ANSI_DOUBLE_UNDERLINE_ON%
                set ANSI_UNDERLINE_DOUBLE_OFF=%ANSI_DOUBLE_UNDERLINE_OFF%
                set      UNDERLINE_DOUBLE_ON=%DOUBLE_UNDERLINE_ON%
                set      UNDERLINE_DOUBLE_OFF=%DOUBLE_UNDERLINE_OFF%
                set      UNDERLINE_DOUBLE=%DOUBLE_UNDERLINE%
            set ANSI_BLINK_SLOW=%ANSI_ESCAPE%5m
            set ANSI_BL</t>
  </si>
  <si>
    <t>```dataview
table Deadline
FROM #⚡ AND #🦋/Coding
SORT Deadline asc
```</t>
  </si>
  <si>
    <t>```dataview
table Status, Rating, author as Author
FROM #i AND #casaos
SORT file.mtime desc
```</t>
  </si>
  <si>
    <t>```dataview
table Created
FROM [[Coding]] AND !#🦋 AND !#📥
SORT file.mtime desc
```</t>
  </si>
  <si>
    <t>```dataview
table Deadline
FROM #⚡ AND #🦋/Computers
SORT Deadline asc
```</t>
  </si>
  <si>
    <t>```dataview
table Created
FROM [[Computers]] AND !#🦋 AND !#📥
SORT file.mtime desc
```</t>
  </si>
  <si>
    <t>```dataview
table Deadline
FROM #⚡ AND [[Cooking]]
SORT Deadline asc
```</t>
  </si>
  <si>
    <t>```dataview
table Status, Rating, author as Author
FROM #i AND [[Cooking]]
SORT file.mtime desc
```</t>
  </si>
  <si>
    <t>```dataview
table Created
FROM [[Cooking]] AND !#🦋 AND !#📥
SORT file.mtime desc
```</t>
  </si>
  <si>
    <t>```dataview
table Deadline
FROM #⚡ AND [[Design]]
SORT Deadline asc
```</t>
  </si>
  <si>
    <t>```dataview
table Status, Rating, author as Author
FROM #i AND [[Design]]
SORT file.mtime desc
```</t>
  </si>
  <si>
    <t>```dataview
table Created
FROM [[Design]] AND !#🦋 AND !#📥
SORT file.mtime desc
```</t>
  </si>
  <si>
    <t>```dataview
table Deadline
FROM #⚡ AND [[Genealogy]]
SORT Deadline asc
```</t>
  </si>
  <si>
    <t>```dataview
table Status, Rating, author as Author
FROM #i AND [[Genealogy]]
SORT file.mtime desc
```</t>
  </si>
  <si>
    <t>```dataview
table Created
FROM [[Genealogy]] AND !#🦋 AND !#📥
SORT file.mtime desc
```</t>
  </si>
  <si>
    <t>```dataview
TASK
WHERE !completed and !kanban-plugin
GROUP BY file.link
limit 20
```</t>
  </si>
  <si>
    <t>```dataview
TABLE WITHOUT ID
regexreplace(Tasks.text, "@\[.*$", "") as Task,
meta(Tasks.section).subpath as "Status",
file.link as "Board"
from "1-Projects"
where kanban-plugin = "basic"
FLATTEN file.tasks As Tasks
WHERE !Tasks.completed
AND contains(Tasks.text, "")
SORT date(Tasks.due.file.name)
```</t>
  </si>
  <si>
    <t>```dataview
table Deadline
FROM #⚡ AND [[Home]]
SORT Deadline asc
```</t>
  </si>
  <si>
    <t>```dataview
table Status, Rating, author as Author
FROM #i AND [[Home]]
SORT file.mtime desc
```</t>
  </si>
  <si>
    <t>```dataview
table Created
FROM [[Home]] AND !#🦋 AND !#📥
SORT file.mtime desc
```</t>
  </si>
  <si>
    <t>```dataview
table Deadline
FROM #⚡ AND [[🦋 Media]]
SORT Deadline asc
```</t>
  </si>
  <si>
    <t>```dataview
table Status, Rating, author as Author
FROM #i AND [[Media]]
SORT file.mtime desc
```</t>
  </si>
  <si>
    <t>```dataview
table Created
FROM [[Media]] AND !#🦋 AND !#📥
SORT file.mtime desc
```</t>
  </si>
  <si>
    <t>```button
name Create Project Folder + Note
type command
action QuickAdd: ⚡ Create Project Folder + Note
```</t>
  </si>
  <si>
    <t>```dataview
table Deadline
FROM #⚡ AND [[Music]]
SORT Deadline asc
```</t>
  </si>
  <si>
    <t>```dataview
table Status, Rating, author as Author
FROM #i AND [[Music]]
SORT file.mtime desc
```</t>
  </si>
  <si>
    <t>```dataview
table Created
FROM [[Music]] AND !#🦋 AND !#📥
SORT file.mtime desc
```</t>
  </si>
  <si>
    <t>```
This is working..........
TABLE WITHOUT ID
file.link AS "Area",
file.tags AS "File Tags"
FROM #area AND -"z_meta"
group by file.folder
Not working.................
sort file.folder asc
group by file.folder
```</t>
  </si>
  <si>
    <t>```dataview
TABLE WITHOUT ID
file.link,
links,
file.tags
FROM #resource AND -"z_meta"
WHERE meta(links).display`= "🦋 My Resources"
```</t>
  </si>
  <si>
    <t>```dataview
table Deadline
FROM #⚡ AND [[Travel]]
SORT Deadline asc
```</t>
  </si>
  <si>
    <t>```dataview
table Status, Rating, author as Author
FROM #i AND [[Travel]]
SORT file.mtime desc
```</t>
  </si>
  <si>
    <t>```dataview
table Created
FROM [[Travel]] AND !#🦋 AND !#📥
SORT file.mtime desc
```</t>
  </si>
  <si>
    <t>```dataview
table Deadline
FROM #⚡ AND [[Writing]]
SORT Deadline asc
```</t>
  </si>
  <si>
    <t>```dataview
table Status, Rating, author as Author
FROM #i AND [[Writing]]
SORT file.mtime desc
```</t>
  </si>
  <si>
    <t>```dataview
table Created
FROM #writing
SORT file.mtime desc
```</t>
  </si>
  <si>
    <t>```dataview
TABLE WITHOUT ID
regexreplace(Tasks.text, "@\[.*$", "") as Task,
meta(Tasks.section).subpath as "Status",
file.link as "Board"
from "1-Projects"
where kanban-plugin = "basic"
FLATTEN file.tasks As Tasks
WHERE !Tasks.completed
AND contains(Tasks.text, "")
SORT date(Tasks.due.file.name)
LIMIT 20
```</t>
  </si>
  <si>
    <t>QUERY</t>
  </si>
  <si>
    <t>```query
line:("Created:: 2022-12-09")
```</t>
  </si>
  <si>
    <t>```dataview
TABLE WITHOUT ID
regexreplace(Tasks.text, "@\[.*$", "") as Task,
meta(Tasks.section).subpath as "Status",
file.link as "Board"
from "1-Projects"
where kanban-plugin = "basic"
FLATTEN file.tasks As Tasks
WHERE !Tasks.completed
AND contains(Tasks.text, "2022-12-25")
SORT date(Tasks.due.file.name)
LIMIT 20
```</t>
  </si>
  <si>
    <t>```query
line:("Created:: 2022-12-25")
```</t>
  </si>
  <si>
    <t>```dataview
TABLE WITHOUT ID
regexreplace(Tasks.text, "@\[.*$", "") as Task,
meta(Tasks.section).subpath as "Status",
file.link as "Board"
from "1-Projects"
where kanban-plugin = "basic"
FLATTEN file.tasks As Tasks
WHERE !Tasks.completed
AND contains(Tasks.text, "2023-01-16")
SORT date(Tasks.due.file.name)
LIMIT 20
```</t>
  </si>
  <si>
    <t>```query
line:("Created:: 2023-01-16")
```</t>
  </si>
  <si>
    <t>```dataview
TABLE WITHOUT ID
regexreplace(Tasks.text, "@\[.*$", "") as Task,
meta(Tasks.section).subpath as "Status",
file.link as "Board"
from "1-Projects"
where kanban-plugin = "basic"
FLATTEN file.tasks As Tasks
WHERE !Tasks.completed
AND contains(Tasks.text, "2023-01-19")
SORT date(Tasks.due.file.name)
LIMIT 20
```</t>
  </si>
  <si>
    <t>```query
line:("Created:: 2023-01-19")
```</t>
  </si>
  <si>
    <t>```query
line:("Created:: 2023-01-22")
```</t>
  </si>
  <si>
    <t>```dataview
TABLE WITHOUT ID
regexreplace(Tasks.text, "@\[.*$", "") as Task,
meta(Tasks.section).subpath as "Status",
file.link as "Board"
from "1-Projects"
where kanban-plugin = "basic"
FLATTEN file.tasks As Tasks
WHERE !Tasks.completed
AND contains(Tasks.text, "2023-01-24")
SORT date(Tasks.due.file.name)
LIMIT 20
```</t>
  </si>
  <si>
    <t>```query
line:("Created:: 2023-01-24")
```</t>
  </si>
  <si>
    <t>```query
line:("Created:: 2023-01-25")
```</t>
  </si>
  <si>
    <t>```query
line:("Created:: 2023-01-27")
```</t>
  </si>
  <si>
    <t>```query
line:("Created:: 2023-01-29")
```</t>
  </si>
  <si>
    <t>```query
line:("Created:: 2023-02-03")
```</t>
  </si>
  <si>
    <t>```query
line:("Created:: 2023-02-04")
```</t>
  </si>
  <si>
    <t>```query
line:("Created:: 2023-02-08")
```</t>
  </si>
  <si>
    <t>```query
line:("Created:: 2023-02-09")
```</t>
  </si>
  <si>
    <t>```dataview
TABLE WITHOUT ID
regexreplace(Tasks.text, "@\[.*$", "") as Task,
meta(Tasks.section).subpath as "Status",
file.link as "Board"
from "1-Projects"
where kanban-plugin = "basic"
FLATTEN file.tasks As Tasks
WHERE !Tasks.completed
AND contains(Tasks.text, "2023-02-10")
SORT date(Tasks.due.file.name)
LIMIT 20
```</t>
  </si>
  <si>
    <t>```query
line:("Created:: 2023-02-10")
```</t>
  </si>
  <si>
    <t>```query
line:("Created:: 2023-02-11")
```</t>
  </si>
  <si>
    <t>```query
line:("Created:: 2023-09-18")
```</t>
  </si>
  <si>
    <t>```query
line:("Created:: 2023-09-22")
```</t>
  </si>
  <si>
    <t>```query
line:("Created:: 2023-09-25")
```</t>
  </si>
  <si>
    <t>```query
line:("Created:: 2023-09-27")
```</t>
  </si>
  <si>
    <t>```query
line:("Created:: 2023-09-29")
```</t>
  </si>
  <si>
    <t>```query
line:("Created:: 2023-10-30")
```</t>
  </si>
  <si>
    <t>```query
line:("Created:: 2023-11-06")
```</t>
  </si>
  <si>
    <t>```query
line:("Created:: 2023-11-17")
```</t>
  </si>
  <si>
    <t>```query
line:("Created:: 2023-11-29")
```</t>
  </si>
  <si>
    <t>```query
line:("Created:: 2023-11-30")
```</t>
  </si>
  <si>
    <t>```query
line:("Created:: 2023-12-01")
```</t>
  </si>
  <si>
    <t>```query
line:("Created:: 2023-12-02")
```</t>
  </si>
  <si>
    <t>```query
line:("Created:: 2023-12-03")
```</t>
  </si>
  <si>
    <t>```query
line:("Created:: 2023-12-04")
```</t>
  </si>
  <si>
    <t>```query
line:("Created:: 2023-12-05")
```</t>
  </si>
  <si>
    <t>```query
line:("Created:: 2023-12-06")
```</t>
  </si>
  <si>
    <t>```query
line:("Created:: 2023-12-07")
```</t>
  </si>
  <si>
    <t>```query
line:("Created:: 2023-12-09")
```</t>
  </si>
  <si>
    <t>```query
line:("Created:: 2023-12-11")
```</t>
  </si>
  <si>
    <t>```query
line:("Created:: 2023-12-19")
```</t>
  </si>
  <si>
    <t>```query
line:("Created:: 2023-12-20")
```</t>
  </si>
  <si>
    <t>```query
line:("Created:: 2023-12-21")
```</t>
  </si>
  <si>
    <t>```query
line:("Created:: 2024-01-10")
```</t>
  </si>
  <si>
    <t>```query
line:("Created:: 2024-01-13")
```</t>
  </si>
  <si>
    <t>```query
line:("Created:: 2024-01-18")
```</t>
  </si>
  <si>
    <t>```query
line:("Created:: 2024-01-20")
```</t>
  </si>
  <si>
    <t>```query
line:("Created:: 2024-02-01")
```</t>
  </si>
  <si>
    <t>```query
line:("Created:: 2024-02-06")
```</t>
  </si>
  <si>
    <t>```query
line:("Created:: 2024-02-08")
```</t>
  </si>
  <si>
    <t>```query
line:("Created:: 2024-02-09")
```</t>
  </si>
  <si>
    <t>```query
line:("Created:: 2024-04-12")
```</t>
  </si>
  <si>
    <t>```query
line:("Created:: 2024-05-21")
```</t>
  </si>
  <si>
    <t>```dataview
TASK
WHERE !completed and !kanban-plugin and !checklist
GROUP BY file.link
limit 20
```</t>
  </si>
  <si>
    <t>```query
line:("Created:: 2024-07-22")
```</t>
  </si>
  <si>
    <t>Todoist Sync</t>
  </si>
  <si>
    <t>TODOIST</t>
  </si>
  <si>
    <t>```todoist
filter: "p1"
show:
- description
sorting:
- date
groupby: project
```</t>
  </si>
  <si>
    <t>```todoist
filter: "p2"
show:
- description
sorting:
- date
groupby: project
```</t>
  </si>
  <si>
    <t>```todoist
filter: "p3"
show:
- description
sorting:
- date
groupby: project
```</t>
  </si>
  <si>
    <t>```query
line:("Created:: 2024-09-01")
```</t>
  </si>
  <si>
    <t>```query
line:("Created:: 2024-09-05")
```</t>
  </si>
  <si>
    <t>```query
line:("Created:: 2024-09-06")
```</t>
  </si>
  <si>
    <t>```query
line:("Created:: 2024-09-08")
```</t>
  </si>
  <si>
    <t>```query
line:("Created:: 2024-09-09")
```</t>
  </si>
  <si>
    <t>```query
line:("Created:: 2024-09-10")
```</t>
  </si>
  <si>
    <t>```query
line:("Created:: 2024-09-11")
```</t>
  </si>
  <si>
    <t>```query
line:("Created:: 2024-09-12")
```</t>
  </si>
  <si>
    <t>```query
line:("Created:: 2024-09-13")
```</t>
  </si>
  <si>
    <t>```query
line:("Created:: 2024-09-15")
```</t>
  </si>
  <si>
    <t>```query
line:("Created:: 2024-09-16")
```</t>
  </si>
  <si>
    <t>```query
line:("Created:: 2024-09-17")
```</t>
  </si>
  <si>
    <t>```dataview
TASK
WHERE !completed and !kanban-plugin
GROUP BY file.link
SORT by ASCENDING
limit 20
```</t>
  </si>
  <si>
    <t>```query
line:("Created:: 2024-09-18")
```</t>
  </si>
  <si>
    <t>```query
line:("Created:: 2024-09-19")
```</t>
  </si>
  <si>
    <t>```query
line:("Created:: 2024-09-20")
```</t>
  </si>
  <si>
    <t>```query
line:("Created:: 2024-09-21")
```</t>
  </si>
  <si>
    <t>```query
line:("Created:: 2024-09-22")
```</t>
  </si>
  <si>
    <t>```query
line:("Created:: 2024-09-23")
```</t>
  </si>
  <si>
    <t>```query
line:("Created:: 2024-09-24")
```</t>
  </si>
  <si>
    <t>```query
line:("Created:: 2024-09-25")
```</t>
  </si>
  <si>
    <t>```query
line:("Created:: 2024-09-26")
```</t>
  </si>
  <si>
    <t>```query
line:("Created:: 2024-09-27")
```</t>
  </si>
  <si>
    <t>```query
line:("Created:: 2024-09-28")
```</t>
  </si>
  <si>
    <t>```query
line:("Created:: 2024-09-29")
```</t>
  </si>
  <si>
    <t>```query
line:("Created:: 2024-09-30")
```</t>
  </si>
  <si>
    <t>```query
line:("Created:: 2024-10-01")
```</t>
  </si>
  <si>
    <t>```gEvent
type: week
exclude: []
include: []
hourRange:
  - 6
  - 21
offset: 0
timespan: 7
showAllDay: true
navigation: true
```</t>
  </si>
  <si>
    <t>```query
line:("Created:: 2024-10-02")
```</t>
  </si>
  <si>
    <t>```query
line:("Created:: 2024-10-03")
```</t>
  </si>
  <si>
    <t>```query
line:("Created:: 2024-10-04")
```</t>
  </si>
  <si>
    <t>```query
line:("Created:: 2024-10-05")
```</t>
  </si>
  <si>
    <t>```query
line:("Created:: 2024-10-06")
```</t>
  </si>
  <si>
    <t>```query
line:("Created:: 2024-10-07")
```</t>
  </si>
  <si>
    <t>```query
line:("Created:: 2024-10-09")
```</t>
  </si>
  <si>
    <t>```query
line:("Created:: 2024-10-10")
```</t>
  </si>
  <si>
    <t>```query
line:("Created:: 2024-10-12")
```</t>
  </si>
  <si>
    <t>```query
line:("Created:: 2024-10-13")
```</t>
  </si>
  <si>
    <t>```query
line:("Created:: 2024-10-14")
```</t>
  </si>
  <si>
    <t>```query
line:("Created:: 2024-10-18")
```</t>
  </si>
  <si>
    <t>```query
line:("Created:: 2024-10-21")
```</t>
  </si>
  <si>
    <t>```query
line:("Created:: 2024-10-24")
```</t>
  </si>
  <si>
    <t>```query
line:("Created:: 2024-10-25")
```</t>
  </si>
  <si>
    <t>```query
line:("Created:: 2024-10-28")
```</t>
  </si>
  <si>
    <t>```query
line:("Created:: 2024-10-30")
```</t>
  </si>
  <si>
    <t>```query
line:("Created:: 2024-11-02")
```</t>
  </si>
  <si>
    <t>```query
line:("Created:: 2024-11-03")
```</t>
  </si>
  <si>
    <t>```query
line:("Created:: 2024-11-05")
```</t>
  </si>
  <si>
    <t>```gEvent
type: week
exclude: []
include: []
hourRange:
  - 6
  - 21
offset: 0
timespan: 4
showAllDay: true
navigation: true
```</t>
  </si>
  <si>
    <t>```query
line:("Created:: 2024-11-06")
```</t>
  </si>
  <si>
    <t>```query
line:("Created:: 2024-11-07")
```</t>
  </si>
  <si>
    <t>```query
line:("Created:: 2024-11-10")
```</t>
  </si>
  <si>
    <t>```query
line:("Created:: 2024-11-11")
```</t>
  </si>
  <si>
    <t>```query
line:("Created:: 2024-11-12")
```</t>
  </si>
  <si>
    <t>```query
line:("Created:: 2024-11-13")
```</t>
  </si>
  <si>
    <t>```query
line:("Created:: 2024-11-25")
```</t>
  </si>
  <si>
    <t>```query
line:("Created:: 2024-11-26")
```</t>
  </si>
  <si>
    <t>```query
line:("Created:: 2024-11-27")
```</t>
  </si>
  <si>
    <t>```query
line:("Created:: 2024-12-01")
```</t>
  </si>
  <si>
    <t>```query
line:("Created:: 2024-12-02")
```</t>
  </si>
  <si>
    <t>```query
line:("Created:: 2024-12-03")
```</t>
  </si>
  <si>
    <t>```query
line:("Created:: Win11 Jump List Tweak")
```</t>
  </si>
  <si>
    <t>```query
line:("Created:: 2024-12-07")
```</t>
  </si>
  <si>
    <t>```query
line:("Created:: 2024-12-08")
```</t>
  </si>
  <si>
    <t>```query
line:("Created:: 2024-12-10")
```</t>
  </si>
  <si>
    <t>```query
line:("Created:: 2024-12-12")
```</t>
  </si>
  <si>
    <t>```query
line:("Created:: 2024-12-13")
```</t>
  </si>
  <si>
    <t>```todoist
filter: "p1"
show:
- description
- due
sorting:
- date
groupby: project
```</t>
  </si>
  <si>
    <t>```
org-pXIm9H4E6fXVvtCt0qyQcWCD
```</t>
  </si>
  <si>
    <t>```
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
```</t>
  </si>
  <si>
    <t>```query
line:("Created:: 2024-12-14")
```</t>
  </si>
  <si>
    <t>```query
line:("Created:: 2024-12-17")
```</t>
  </si>
  <si>
    <t>```query
line:("Created:: 2024-12-18")
```</t>
  </si>
  <si>
    <t>```query
line:("Created:: 2024-12-19")
```</t>
  </si>
  <si>
    <t>```query
line:("Created:: 2024-12-20")
```</t>
  </si>
  <si>
    <t>```query
line:("Created:: 2024-12-21")
```</t>
  </si>
  <si>
    <t>```query
line:("Created:: 2024-12-23")
```</t>
  </si>
  <si>
    <t>```query
line:("Created:: 2024-12-24")
```</t>
  </si>
  <si>
    <t>```query
line:("Created:: 2024-12-25")
```</t>
  </si>
  <si>
    <t>```query
line:("Created:: Eveline")
```</t>
  </si>
  <si>
    <t>```query
line:("Created:: 2024-12-28")
```</t>
  </si>
  <si>
    <t>```query
line:("Created:: 2024-12-29")
```</t>
  </si>
  <si>
    <t>```query
line:("Created:: 2024-12-30")
```</t>
  </si>
  <si>
    <t>```query
line:("Created:: test")
```</t>
  </si>
  <si>
    <t>```query
line:("Created:: 2025-01-02")
```</t>
  </si>
  <si>
    <t>```query
line:("Created:: 2025-01-04")
```</t>
  </si>
  <si>
    <t>```query
line:("Created:: 2025-01-05")
```</t>
  </si>
  <si>
    <t>```query
line:("Created:: 2025-01-07")
```</t>
  </si>
  <si>
    <t>```query
line:("Created:: 2025-01-08")
```</t>
  </si>
  <si>
    <t>```query
line:("Created:: 2025-01-09")
```</t>
  </si>
  <si>
    <t>```query
line:("Created:: 2025-01-10")
```</t>
  </si>
  <si>
    <t>```query
line:("Created:: 2025-01-11")
```</t>
  </si>
  <si>
    <t>```query
line:("Created:: Setup Software Maintenece Template")
```</t>
  </si>
  <si>
    <t>```query
line:("Created:: 2025-01-13")
```</t>
  </si>
  <si>
    <t>```query
line:("Created:: 2025-01-14")
```</t>
  </si>
  <si>
    <t>```query
line:("Created:: 2025-01-15")
```</t>
  </si>
  <si>
    <t>```query
line:("Created:: 2025-01-16")
```</t>
  </si>
  <si>
    <t>```query
line:("Created:: 2025-01-19")
```</t>
  </si>
  <si>
    <t>```query
line:("Created:: 2025-01-20")
```</t>
  </si>
  <si>
    <t>```query
line:("Created:: 2025-01-21")
```</t>
  </si>
  <si>
    <t>```query
line:("Created:: 2025-01-22")
```</t>
  </si>
  <si>
    <t>```query
line:("Created:: 2025-01-23")
```</t>
  </si>
  <si>
    <t>```query
line:("Created:: 2025-01-26")
```</t>
  </si>
  <si>
    <t>```query
line:("Created:: 2025-01-27")
```</t>
  </si>
  <si>
    <t>```query
line:("Created:: 2025-01-28")
```</t>
  </si>
  <si>
    <t>```gEvent
type: week
date: ;window.moment().startOf("week");
navigation: true
```</t>
  </si>
  <si>
    <t>```query
line:("Created:: 2025-01-29")
```</t>
  </si>
  <si>
    <t>```query
line:("Created:: 2025-01-31")
```</t>
  </si>
  <si>
    <t>```query
line:("Created:: 2025-02-04")
```</t>
  </si>
  <si>
    <t>```query
line:("Created:: 2025-02-05")
```</t>
  </si>
  <si>
    <t>```gEvent
type: week
exclude: []
include: []
hourRange:
  - 6
  - 21
offset: 0
timespan: 7
showAllDay: true
navigation: true
```</t>
  </si>
  <si>
    <t>```gEvent
&gt; type: week
&gt; exclude: []
&gt; include: []
&gt; hourRange:
&gt;   - 6
&gt;   - 21
&gt; offset: 0
&gt; timespan: 5
&gt; showAllDay: true
&gt; navigation: true
&gt; ```</t>
  </si>
  <si>
    <t>```
G:\dev\peepsCC\logs\yaml_fix2_xl_0119.xlsx
G:\dev\peepsCC\logs\yaml_fix2_0119.log
```</t>
  </si>
  <si>
    <t>```dataview
TABLE WITHOUT ID
regexreplace(Tasks.text, "@\[.*$", "") as Task,
meta(Tasks.section).subpath as "Status",
file.link as "Board"
FROM #kanbans AND [[2022-07-11]]
FLATTEN file.tasks As Tasks
WHERE !Tasks.completed
AND contains(Tasks.text, "[[2022-07-11]]")
SORT date(Tasks.due.file.name)
LIMIT 20
```</t>
  </si>
  <si>
    <t>```query
line:("Created:: 2022-07-11")
```</t>
  </si>
  <si>
    <t xml:space="preserve"> TRACKER</t>
  </si>
  <si>
    <t>``` tracker
searchType: dvField
searchTarget: Physical, Mental, Emotional, Spiritual
datasetName: Physical, Mental, Emotional, Spiritual
folder: /dailyNotes
month:
    startWeekOn: 'Sun'
    threshold: 7, 7, 7, 7
    color: green
    dimNotInMonth: false
    todayRingColor: white
    selectedRingColor: steelblue
    circleColorByValue: true
    showSelectedValue: true
    initMonth: 2022-12
```</t>
  </si>
  <si>
    <t>``` tracker
searchType: task.done, task.notdone
searchTarget: Meditate, Meditate
folder: /dailyNotes
datasetName: Meditate, Not Meditate
month:
    color: green
    todayRingColor: white
    selectedRingColor: steelblue
    showSelectedValue: false
    initMonth: 2022-07
```</t>
  </si>
  <si>
    <t>``` tracker
searchType: task.done, task.all
searchTarget: Meditate, Meditate
folder: /dailyNotes
startDate: 2022-07-01
endDate: 2022-07-31
summary:
    template: "Meditate - {{sum(dataset(0))/sum(dataset(1))*100}}% - {{sum(dataset(0))}}/{{sum(dataset(1))}} Days Completed"
```</t>
  </si>
  <si>
    <t>```dataview
task
where file.name = "2022-M07"
```</t>
  </si>
  <si>
    <t>```dataview
table Total as Rating, Summary, Personal, Career
from #reviews/weekly AND [[2022-M07]]
sort file.name asc
```</t>
  </si>
  <si>
    <t>Tracker</t>
  </si>
  <si>
    <t>TRACKER</t>
  </si>
  <si>
    <t>```tracker
searchType: dvField
searchTarget: Physical, Mental, Emotional, Spiritual
folder: /dailyNotes
startDate: 2022-12-19
endDate: 2022-12-20
summary:
    template: "AVERAGES\nPhysical: {{average(dataset(0))}}\nMental: {{average(dataset(1))}}\nEmotional: {{average(dataset(2))}}\nSpiritual: {{average(dataset(3))}}\n"
```</t>
  </si>
  <si>
    <t>```dataview
task
where file.name = "2022-Q3"
```</t>
  </si>
  <si>
    <t>```dataview
table Total as Rating, Summary, Personal, Career
from #reviews/monthly AND [[2022-Q3]]
sort file.name desc
```</t>
  </si>
  <si>
    <t>```dataview
task
where file.name = "2024-Q4"
```</t>
  </si>
  <si>
    <t>```dataview
table Total as Rating, Summary, Personal, Career
from #reviews/monthly AND [[2024-Q4]]
sort file.name desc
```</t>
  </si>
  <si>
    <t>``` tracker
searchType: dvField
searchTarget: Physical, Mental, Emotional, Spiritual
folder: /dailyNotes
startDate: 2022-07-04
endDate: 2022-07-10
datasetName: Physical, Mental, Emotional, Spiritual
line:
    title: Energy
    yMax: 10
    yAxisLabel: Phys (R) / Ment (B) Emot (Y) / Spir (G)
    lineColor: red, blue, yellow, green
    showLegend: true
    legendOrientation: vertical
    fillGap: true
```</t>
  </si>
  <si>
    <t>```dataview
task
where file.name = "2022-W28"
```</t>
  </si>
  <si>
    <t>```dataview
table deadline, area
FROM [[2022-W29]] AND #projects
WHERE file.name != "Project Template"
SORT deadline asc
```</t>
  </si>
  <si>
    <t>```dataview
table Rating, Headings as ✍️
from [[2022-W28]] AND "dailyNotes"
sort file.name asc
```</t>
  </si>
  <si>
    <t>```dataview
table deadline as Deadline, area as Area
FROM [[2022-W28]] AND #projects
WHERE file.name != "Project Template"
SORT deadline asc
```</t>
  </si>
  <si>
    <t>```dataview
TABLE WITHOUT ID
regexreplace(Tasks.text, "@\[.*$", "") as Task,
meta(Tasks.section).subpath as "Status",
file.link as "Board"
FROM #kanbans
FLATTEN file.tasks As Tasks
WHERE contains(Tasks.text, "2022-06-27") OR
contains(Tasks.text, "2022-06-28") OR
contains(Tasks.text, "2022-06-29") OR
contains(Tasks.text, "2022-06-30") OR
contains(Tasks.text, "2022-07-01") OR
contains(Tasks.text, "2022-07-02") OR contains(Tasks.text, "2022-07-03")
SORT date(Tasks.due.file.name)
```</t>
  </si>
  <si>
    <t>```tracker
searchType: dvField
searchTarget: Physical, Mental, Emotional, Spiritual
folder: /dailyNotes
startDate: 2022-07-04
endDate: 2022-07-10
summary:
    template: "AVERAGES\nPhysical: {{average(dataset(0))}}\nMental: {{average(dataset(1))}}\nEmotional: {{average(dataset(2))}}\nSpiritual: {{average(dataset(3))}}\n"
```</t>
  </si>
  <si>
    <t>```dataview
task
where file.name = "2022-W34"
```</t>
  </si>
  <si>
    <t>```dataview
table deadline, area
FROM [[2022-W35]] AND #projects
WHERE file.name != "Project Template"
SORT deadline asc
```</t>
  </si>
  <si>
    <t>```dataview
table deadline as Deadline, area as Area
FROM [[2022-W34]] AND #projects
WHERE file.name != "Project Template"
SORT deadline asc
```</t>
  </si>
  <si>
    <t>```dataview
TABLE WITHOUT ID
regexreplace(Tasks.text, "@\[.*$", "") as Task,
meta(Tasks.section).subpath as "Status",
file.link as "Board"
FROM #kanbans
FLATTEN file.tasks As Tasks
WHERE contains(Tasks.text, "2022-08-15") OR
contains(Tasks.text, "2022-08-16") OR
contains(Tasks.text, "2022-08-17") OR
contains(Tasks.text, "2022-08-18") OR
contains(Tasks.text, "2022-08-19") OR
contains(Tasks.text, "2022-08-20") OR contains(Tasks.text, "2022-08-21")
SORT date(Tasks.due.file.name)
```</t>
  </si>
  <si>
    <t>```dataview
task
where file.name = "2022"
```</t>
  </si>
  <si>
    <t>```dataview
table Total as Rating, Summary, Personal, Career
from #reviews/quarterly AND [[2022]]
sort file.name desc
```</t>
  </si>
  <si>
    <t>```dataview
task
where file.name = "2024"
```</t>
  </si>
  <si>
    <t>```dataview
table Total as Rating, Summary, Personal, Career
from #reviews/quarterly AND [[2024]]
sort file.name desc
```</t>
  </si>
  <si>
    <t>```dataview
task
where file.name = "2025"
```</t>
  </si>
  <si>
    <t>```dataview
table Total as Rating, Summary, Personal, Career
from #reviews/quarterly AND [[2025]]
sort file.name desc
```</t>
  </si>
  <si>
    <t>```CSS
/* Example userChrome.css file
https://github.com/MrOtherGuy/firefox-csshacks
*/
/* Import your desired components first
Note comments can only be formatted like this (no //)
 (See the chrome folder. It contains all of his mods) */
@import url(chrome/theme-color-variables.css);
@import url(chrome/theme_sidebar.css);
/* @import url(chrome/multi-row_tabs.css);
 @import url(chrome/multi-row_bookmarks.css);
*/
@import url(chrome/multi-row_tabs.css);
@import url(chrome/multi-row_bookmarks.css);
@import url(chrome/multi-row_tabs_window_control_patch.css);
@import url(chrome/tab_close_button_always_on_hover.css);
@import url(chrome/tab_loading_progress_throbber.css);
@import url(chrome/button_effect_scale_onclick.css);
@import url(chrome/minimal_popup_scrollbars.css);
@import url(chrome/button_effect_icon_glow.css);
@import url(chrome/vertical_context_navigation.css);
@import url(chrome/urlbar_popup_full_width.css);
@import url(chrome/hide_toolbox_top_bottom_borders.css);
/*
@import url(chrome/blank_page_background.css);
@import url(chrome\chrome\urlbar_popup_full_width.css);
@import url(chrome\chrome\urlbar_popup_full_width.css);
@import url(chrome\chrome\urlbar_popup_full_width.css);
@import url(chrome\chrome\urlbar_popup_full_width.css);
@import url(chrome/autohide_menubar.css); DOES NOT WORK IN FF 106+
@import url(chrome/dark_context_menus.css);
@import url(chrome/dark_additional_windows.css);
@import url(chrome/dark_checkboxes_and_radios.css);
*/
/* Apply your custom modifications after imports */
:root {
  --toolbar-bgcolor: rgb(52, 75, 116) !important;
  --uc-menu-bkgnd: var(--toolbar-bgcolor);
  --arrowpanel-background: var(--toolbar-bgcolor) !important;
  --autocomplete-popup-background: var(--toolbar-bgcolor) !important;
  --uc-menu-disabled: rgb(90, 90, 90) !important;
  --lwt-toolbar-field-focus: rgb(61, 84, 126) !important;
  --multirow-n-rows: 4;
}
#history-panel,
#bookmarksPanel,
#sidebar-header{
  background-color: var(--uc-light-bkgnd-color) !important;
  color: rgb(218, 189, 67) !important;
  border-top: none !important;
  border-bottom:none !important;
  scrollbar-color: rgb(210,210,210) var(--uc-light-bkgnd-color) !important;
}
#sidebar-box {
  --sidebar-background-color: var(--toolbar-bgcolor) !important;
}
window.sidebar-panel {
  --lwt-sidebar-background-color: rgb(36, 44, 59) !important;
}
```</t>
  </si>
  <si>
    <t>DATAVIEWJS</t>
  </si>
  <si>
    <t>```dataviewjs
const tp = app.plugins.plugins['templater-obsidian'].templater.current_functions_object;
// Get files from a specific folder or directory
const folderPath = "Script try";
const files = app.vault.getMarkdownFiles().filter(file =&gt; file.path.startsWith(folderPath));
console.log('Number of files to process:', files.length);
for (const file of files) {
  console.log('Processing file:', file.path);
  const tFile = await tp.file.find_tfile(file.path);
  if (tFile) {
    console.log('Found file:', tFile.path);
    try {
      await app.fileManager.processFrontMatter(tFile, (frontmatter) =&gt; {
        console.log('Existing frontmatter:', frontmatter);
        // Update the 'one' property
        frontmatter['one'] = 'second';
        console.log('Updated frontmatter:', frontmatter);
      });
    } catch (error) {
      console.error('Error processing frontmatter:', error);
    }
  } else {
    console.log('File not found:', file.path);
  }
}
```</t>
  </si>
  <si>
    <t>````
```</t>
  </si>
  <si>
    <t>````
### DISPLAY
- The kind of view you want
	- Table includes metadata displayed as column
	- List is just the file name
	- Task is for the todo's in a file I think?
### FROM
- Dictates the files you want to consider
- `[[fileName]]` will include files that link to `fileName`
- `outgoing([[fileName]])` includes the outgoing links from inside `fileName`
### WHERE
- `where contains(lower(file.name), "string")` will include all files that include the text `string`, regardless of casing due to `lower()`
- `where file.name[x]` will include all files where the xth char (starting from 0) is equal to whatever expression you do
## Examples
Check almost any [[Template Explanations]] ;)
#### Files that link to this file that aren't outgoing links (run the "replace templates" command for it to activate)
```</t>
  </si>
  <si>
    <t>```
---
# Metadata used for sync
id: "${id}"
title: "${title}"
created: "${datetime}"
source: "${source}"
tags: "note/🌱"
---
${content}
```</t>
  </si>
  <si>
    <t>```
---
# Metadata used for sync
id: "${id}"
title: "${title}"
created: "${datetime}"
source: "${source}"
---
Status:: #note/🌱
Tags::
Links::
___
# &lt;%tp.file.title%&gt;
${content}
___
Created:: ${created_date}
```</t>
  </si>
  <si>
    <t>```dataviewjs
const getNestedObject = (nestedObj, pathArr) =&gt; {
    return pathArr.reduce((obj, key) =&gt;
        (obj &amp;&amp; obj[key] !== 'undefined') ? obj[key] : undefined, nestedObj);
}
function hilite(keys, how) {
    // need to check if existing key combo is overridden by undefining it
    if (keys &amp;&amp; keys[1][0] !== undefined) {
        return how + keys.flat(2).join('+').replace('Mod', 'Ctrl') + how;
    } else {
        return how + '–' + how;
    }
}
function getHotkey(arr, highlight=true) {
    let hi = highlight ? '**' : '';
    let defkeys = arr.hotkeys ? [[getNestedObject(arr.hotkeys, [0, 'modifiers'])],
    [getNestedObject(arr.hotkeys, [0, 'key'])]] : undefined;
    let ck = app.hotkeyManager.customKeys[arr.id];
    var hotkeys = ck ? [[getNestedObject(ck, [0, 'modifiers'])], [getNestedObject(ck, [0, 'key'])]] : undefined;
    return hotkeys ? hilite(hotkeys, hi) : hilite(defkeys, '');
}
let cmds = dv.array(Object.entries(app.commands.commands))
    .where(v =&gt; getHotkey(v[1]) != '–')
    .sort(v =&gt; v[1].id, 'asc')
    .sort(v =&gt; getHotkey(v[1], false), 'asc');
dv.paragraph(cmds.length + " commands with assigned hotkeys; " +
    "non-default hotkeys &lt;strong&gt;bolded&lt;/strong&gt;.&lt;br&gt;&lt;br&gt;");
dv.table(["Command ID", "Name in current locale", "Hotkeys"],
  cmds.map(v =&gt; [
    v[1].id,
    v[1].name,
    getHotkey(v[1]),
    ])
  );
```</t>
  </si>
  <si>
    <t>```dataviewjs
const getNestedObject = (nestedObj, pathArr) =&gt; {
    return pathArr.reduce((obj, key) =&gt;
        (obj &amp;&amp; obj[key] !== 'undefined') ? obj[key] : undefined, nestedObj);
}
function hilite(keys, how) {
    // need to check if existing key combo is overridden by undefining it
    if (keys &amp;&amp; keys[1][0] !== undefined) {
        return how + keys.flat(2).join('+').replace('Mod', 'Ctrl') + how;
    } else {
        return how + '–' + how;
    }
}
function getHotkey(arr, highlight=true) {
    let hi = highlight ? '**' : '';
    let defkeys = arr.hotkeys ? [[getNestedObject(arr.hotkeys, [0, 'modifiers'])],
    [getNestedObject(arr.hotkeys, [0, 'key'])]] : undefined;
    let ck = app.hotkeyManager.customKeys[arr.id];
    var hotkeys = ck ? [[getNestedObject(ck, [0, 'modifiers'])], [getNestedObject(ck, [0, 'key'])]] : undefined;
    return hotkeys ? hilite(hotkeys, hi) : hilite(defkeys, '');
}
let cmds = dv.array(Object.entries(app.commands.commands))
    .where(v =&gt; getHotkey(v[1]) != '–')
    .sort(v =&gt; v[1].name, 'asc');
dv.paragraph(cmds.length + " commands with assigned hotkeys; " +
    "non-default hotkeys &lt;strong&gt;bolded&lt;/strong&gt;.&lt;br&gt;&lt;br&gt;");
dv.table(["Command ID", "Name in current locale", "Hotkeys"],
  cmds.map(v =&gt; [
    v[1].id,
    v[1].name,
    getHotkey(v[1]),
    ])
  );
```</t>
  </si>
  <si>
    <t>```dataviewjs
const getNestedObject = (nestedObj, pathArr) =&gt; {
    return pathArr.reduce((obj, key) =&gt;
        (obj &amp;&amp; obj[key] !== 'undefined') ? obj[key] : undefined, nestedObj);
}
function hilite(keys, how) {
    // need to check if existing key combo is overridden by undefining it
    if (keys &amp;&amp; keys[1][0] !== undefined) {
        return how + keys.flat(2).join('+').replace('Mod', 'Ctrl') + how;
    } else {
        return how + '–' + how;
    }
}
function getHotkey(arr, highlight=true) {
    let hi = highlight ? '**' : '';
    let defkeys = arr.hotkeys ? [[getNestedObject(arr.hotkeys, [0, 'modifiers'])],
    [getNestedObject(arr.hotkeys, [0, 'key'])]] : undefined;
    let ck = app.hotkeyManager.customKeys[arr.id];
    var hotkeys = ck ? [[getNestedObject(ck, [0, 'modifiers'])], [getNestedObject(ck, [0, 'key'])]] : undefined;
    return hotkeys ? hilite(hotkeys, hi) : hilite(defkeys, '');
}
let cmds = dv.array(Object.entries(app.commands.commands))
    .where(v =&gt; getHotkey(v[1]) != '–')
    .sort(v =&gt; v[1].id, 'asc');
dv.paragraph(cmds.length + " commands with assigned hotkeys; " +
    "non-default hotkeys &lt;strong&gt;bolded&lt;/strong&gt;.&lt;br&gt;&lt;br&gt;");
dv.table(["Command ID", "Hotkey"],
  cmds.map(v =&gt; [
    v[1].id,
    getHotkey(v[1]),
    ])
  );
```</t>
  </si>
  <si>
    <t>```dataviewjs
```</t>
  </si>
  <si>
    <t>```dataviewjs
const getNestedObject = (nestedObj, pathArr) =&gt; {
    return pathArr.reduce((obj, key) =&gt;
        (obj &amp;&amp; obj[key] !== 'undefined') ? obj[key] : undefined, nestedObj);
}
function hilite(keys, how) {
    // need to check if existing key combo is overridden by undefining it
    if (keys &amp;&amp; keys[1][0] !== undefined) {
        return how + keys.flat(2).join('+').replace('Mod', 'Ctrl') + how;
    } else {
        return how + '–' + how;
    }
}
function getHotkey(arr, highlight=true) {
    let hi = highlight ? '**' : '';
    let defkeys = arr.hotkeys ? [[getNestedObject(arr.hotkeys, [0, 'modifiers'])],
    [getNestedObject(arr.hotkeys, [0, 'key'])]] : undefined;
    let ck = app.hotkeyManager.customKeys[arr.id];
    var hotkeys = ck ? [[getNestedObject(ck, [0, 'modifiers'])], [getNestedObject(ck, [0, 'key'])]] : undefined;
    return hotkeys ? hilite(hotkeys, hi) : hilite(defkeys, '');
}
let cmds = dv.array(Object.entries(app.commands.commands))
    .where(v =&gt; getHotkey(v[1]) != '–')
    .sort(v =&gt; v[1].id, 'asc');
dv.paragraph(cmds.length + " commands with assigned hotkeys; " +
    "non-default hotkeys &lt;strong&gt;bolded&lt;/strong&gt;.&lt;br&gt;&lt;br&gt;");
dv.table(["Command ID", "Name in current locale", "Hotkeys"],
  cmds.map(v =&gt; [
    v[1].id,
    v[1].name,
    getHotkey(v[1]),
    ])
  );
```</t>
  </si>
  <si>
    <t>```button
name MAKE.md: Open Spaces
type command
action MAKE.md: Open Spaces
```</t>
  </si>
  <si>
    <t>```button
name MAKE.md: Open Context Explorer
type command
action MAKE.md: Open Context Explorer
```</t>
  </si>
  <si>
    <t>```button
name MAKE.md: Blink
type command
action MAKE.md: Blink
```</t>
  </si>
  <si>
    <t>```
# Single line comments start with a number symbol.
""" Multiline strings can be written
    using three "s, and are often used
    as documentation.
"""
####################################################
## 1. Primitive Datatypes and Operators
####################################################
# You have numbers
3  # =&gt; 3
# Math is what you would expect
1 + 1   # =&gt; 2
8 - 1   # =&gt; 7
10 * 2  # =&gt; 20
35 / 5  # =&gt; 7.0
# Floor division rounds towards negative infinity
5 // 3       # =&gt; 1
-5 // 3      # =&gt; -2
5.0 // 3.0   # =&gt; 1.0  # works on floats too
-5.0 // 3.0  # =&gt; -2.0
# The result of division is always a float
10.0 / 3  # =&gt; 3.3333333333333335
# Modulo operation
7 % 3   # =&gt; 1
# i % j have the same sign as j, unlike C
-7 % 3  # =&gt; 2
# Exponentiation (x**y, x to the yth power)
2**3  # =&gt; 8
# Enforce precedence with parentheses
1 + 3 * 2    # =&gt; 7
(1 + 3) * 2  # =&gt; 8
# Boolean values are primitives (Note: the capitalization)
True   # =&gt; True
False  # =&gt; False
# negate with not
not True   # =&gt; False
not False  # =&gt; True
# Boolean Operators
# Note "and" and "or" are case-sensitive
True and False  # =&gt; False
False or True   # =&gt; True
# True and False are actually 1 and 0 but with different keywords
True + True  # =&gt; 2
True * 8     # =&gt; 8
False - 5    # =&gt; -5
# Comparison operators look at the numerical value of True and False
0 == False   # =&gt; True
2 &gt; True     # =&gt; True
2 == True    # =&gt; False
-5 != False  # =&gt; True
# None, 0, and empty strings/lists/dicts/tuples/sets all evaluate to False.
# All other values are True
bool(0)      # =&gt; False
bool("")     # =&gt; False
bool([])     # =&gt; False
bool({})     # =&gt; False
bool(())     # =&gt; False
bool(set())  # =&gt; False
bool(4)      # =&gt; True
bool(-6)     # =&gt; True
# Using boolean logical operators on ints casts them to booleans for evaluation,
# but their non-cast value is returned. Don't mix up with bool(ints) and bitwise
# and/or (&amp;,|)
bool(0)   # =&gt; False
bool(2)   # =&gt; True
0 and 2   # =&gt; 0
bool(-5)  # =&gt; True
bool(2)   # =&gt; True
-5 or 0   # =&gt; -5
# Equality is ==
1 == 1  # =&gt; True
2 == 1  # =&gt; False
# Inequality is !=
1 != 1  # =&gt; False
2 != 1  # =&gt; True
# More comparisons
1 &lt; 10  # =&gt; True
1 &gt; 10  # =&gt; False
2 &lt;= 2  # =&gt; True
2 &gt;= 2  # =&gt; True
# Seeing whether a value is in a range
1 &lt; 2 and 2 &lt; 3  # =&gt; True
2 &lt; 3 and 3 &lt; 2  # =&gt; False
# Chaining makes this look nicer
1 &lt; 2 &lt; 3  # =&gt; True
2 &lt; 3 &lt; 2  # =&gt; False
# (is vs. ==) is checks if two variables refer to the same object, but == checks
# if the objects pointed to have the same values.
a = [1, 2, 3, 4]  # Point a at a new list, [1, 2, 3, 4]
b = a             # Point b at what a is pointing to
b is a            # =&gt; True, a and b refer to the same object
b == a            # =&gt; True, a's and b's objects are equal
b = [1, 2, 3, 4]  # Point b at a new list, [1, 2, 3, 4]
b is a            # =&gt; False, a and b do not refer to the same object
b == a            # =&gt; True, a's and b's objects are equal
# Strings are created with " or '
"This is a string."
'This is also a string.'
# Strings can be added too
"Hello " + "world!"  # =&gt; "Hello world!"
# String literals (but not variables) can be concatenated without using '+'
"Hello " "world!"    # =&gt; "Hello world!"
# A string can be treated like a list of characters
"Hello world!"[0]  # =&gt; 'H'
# You can find the length of a string
len("This is a string")  # =&gt; 16
# Since Python 3.6, you can use f-strings or formatted string literals.
name = "Reiko"
f"She said her name is {name}."  # =&gt; "She said her name is Reiko"
# Any valid Python expression inside these braces is returned to the string.
f"{name} is {len(name)} characters long."  # =&gt; "Reiko is 5 characters long."
# None is an object
None  # =&gt; None
# Don't use the equality "==" symbol to compare objects to None
# Use "is" instead. This checks for equality of object identity.
"etc" is None  # =&gt; False
None is None   # =&gt; True
####################################################
## 2. Variables and Collections
####################################################
# Python has a print function
print("I'm Python. Nice to meet you!")  # =&gt; I'm Python. Nice to meet you!
# By default the print function also prints out a newline at the end.
# Use the optional argument end to change the end string.
print("Hello, World", end="!")  # =&gt; Hello, World!
# Simple way to get input data from console
input_string_var = input("Enter some data: ")  # Returns the data as a string
# There are no declarations, only assignments.
# Convention in naming variables is snake_case style
some_var = 5
some_var  # =&gt; 5
# Accessing a previously unassigned variable is an exception.
# See Control Flow to learn more about exception handling.
some_unknown_var  # Raises a NameError
# if can be used as an expression
# Equivalent of C's '?:' ternary operator
"yay!" if 0 &gt; 1 else "nay!"  # =&gt; "nay!"
# Lists store sequences
li = []
# You can start with a prefilled list
other_li = [4, 5, 6]
# Add stuff to the end of a list with append
li.append(1)    # li is now [1]
li.append(2)    # li is now [1, 2]
li.append(4)    # li is now [1, 2, 4]
li.append(3)    # li is now [1, 2, 4, 3]
# Remove from the end with pop
li.pop()        # =&gt; 3 and li is now [1, 2, 4]
# Let's put it back
li.append(3)    # li is now [1, 2, 4, 3] again.
# Access a list like you would any array
li[0]   # =&gt; 1
# Look at the last element
li[-1]  # =&gt; 3
# Looking out of bounds is an IndexError
li[4]  # Raises an IndexError
# You can look at ranges with slice syntax.
# The start index is included, the end index is not
# (It's a closed/open range for you mathy types.)
li[1:3]   # Return list from index 1 to 3 =&gt; [2, 4]
li[2:]    # Return list starting from index 2 =&gt; [4, 3]
li[:3]    # Return list from beginning until index 3  =&gt; [1, 2, 4]
li[:: 0]   # Return list selecting elements with a step size of 2 =&gt; [1, 4]
li[:: 0]  # Return list in reverse order =&gt; [3, 4, 2, 1]
# Use any combination of these to make advanced slices
# li[start:end:step]
# Make a one layer deep copy using slices
li2 = li[:]  # =&gt; li2 = [1, 2, 4, 3] but (li2 is li) will result in false.
# Remove arbitrary elements from a list with "del"
del li[2]  # li is now [1, 2, 3]
# Remove first occurrence of a value
li.remove(2)  # li is now [1, 3]
li.remove(2)  # Raises a ValueError as 2 is not in the list
# Insert an element at a specific index
li.insert(1, 2)  # li is now [1, 2, 3] again
# Get the index of the first item found matching the argument
li.index(2)  # =&gt; 1
li.index(4)  # Raises a ValueError as 4 is not in the list
# You can add lists
# Note: values for li and for other_li are not modified.
li + other_li  # =&gt; [1, 2, 3, 4, 5, 6]
# Concatenate lists with "extend()"
li.extend(other_li)  # Now li is [1, 2, 3, 4, 5, 6]
# Check for existence in a list with "in"
1 in li  # =&gt; True
# Examine the length with "len()"
len(li)  # =&gt; 6
# Tuples are like lists but are immutable.
tup = (1, 2, 3)
tup[0]      # =&gt; 1
tup[0] = 3  # Raises a TypeError
# Note that a tuple of length one has to have a comma after the last element but
# tuples of other lengths, even zero, do not.
type((1))   # =&gt; &lt;class 'int'&gt;
type((1,))  # =&gt; &lt;class 'tuple'&gt;
type(())    # =&gt; &lt;class 'tuple'&gt;
# You can do most of the list operations on tuples too
len(tup)         # =&gt; 3
tup + (4, 5, 6)  # =&gt; (1, 2, 3, 4, 5, 6)
tup[:2]          # =&gt; (1, 2)
2 in tup         # =&gt; True
# You can unpack tuples (or lists) into variables
a, b, c = (1, 2, 3)  # a is now 1, b is now 2 and c is now 3
# You can also do extended unpacking
a, *b, c = (1, 2, 3, 4)  # a is now 1, b is now [2, 3] and c is now 4
# Tuples are created by default if you leave out the parentheses
d, e, f = 4, 5, 6  # tuple 4, 5, 6 is unpacked into variables d, e and f
# respectively such that d = 4, e = 5 and f = 6
# Now look how easy it is to swap two values
e, d = d, e  # d is now 5 and e is now 4
# Dictionaries store mappings from keys to values
empty_dict = {}
# Here is a prefilled dictionary
filled_dict = {"one": 1, "two": 2, "three": 3}
# Note keys for dictionaries have to be immutable types. This is to ensure that
# the key can be converted to a constant hash value for quick look-ups.
# Immutable types include ints, floats, strings, tuples.
invalid_dict = {[1,2,3]: "123"}  # =&gt; Yield a TypeError: unhashable type: 'list'
valid_dict = {(1,2,3):[1,2,3]}   # Values can be of any type, however.
# Look up values with []
filled_dict["one"]  # =&gt; 1
# Get all keys as an iterable with "keys()". We need to wrap the call in list()
# to turn it into a list. We'll talk about those later.  Note - for Python
# versions &lt;3.7, dictionary key ordering is not guaranteed. Your results might
# not match the example below exactly. However, as of Python 3.7, dictionary
# items maintain the order at which they are inserted into the dictionary.
list(filled_dict.keys())  # =&gt; ["three", "two", "one"] in Python &lt;3.7
list(filled_dict.keys())  # =&gt; ["one", "two", "three"] in Python 3.7+
# Get all values as an iterable with "values()". Once again we need to wrap it
# in list() to get it out of the iterable. Note - Same as above regarding key
# ordering.
list(filled_dict.values())  # =&gt; [3, 2, 1]  in Python &lt;3.7
list(filled_dict.values())  # =&gt; [1, 2, 3] in Python 3.7+
# Check for existence of keys in a dictionary with "in"
"one" in filled_dict  # =&gt; True
1 in filled_dict      # =&gt; False
# Looking up a non-existing key is a KeyError
filled_dict["four"]  # KeyError
# Use "get()" method to avoid the KeyError
filled_dict.get("one")      # =&gt; 1
filled_dict.get("four")     # =&gt; None
# The get method supports a default argument when the value is missing
filled_dict.get("one", 4)   # =&gt; 1
filled_dict.get("four", 4)  # =&gt; 4
# "setdefault()" inserts into a dictionary only if the given key isn't present
filled_dict.setdefault("five", 5)  # filled_dict["five"] is set to 5
filled_dict.setdefault("five", 6)  # filled_dict["five"] is still 5
# Adding to a dictionary
filled_dict.update({"four":4})  # =&gt; {"one": 1, "two": 2, "three": 3, "four": 4}
filled_dict["four"] = 4         # another way to add to dict
# Remove keys from a dictionary with del
del filled_dict["one"]  # Removes the key "one" from filled dict
# From Python 3.5 you can also use the additional unpacking options
{"a": 1, **{"b": 2}}  # =&gt; {'a': 1, 'b': 2}
{"a": 1, **{"a": 2}}  # =&gt; {'a': 2}
# Sets store ... well sets
empty_set = set()
# Initialize a set with a bunch of values.
some_set = {1, 1, 2, 2, 3, 4}  # some_set is now {1, 2, 3, 4}
# Similar to keys of a dictionary, elements of a set have to be immutable.
invalid_set = {[1], 1}  # =&gt; Raises a TypeError: unhashable type: 'list'
valid_set = {(1,), 1}
# Add one more item to the set
filled_set = some_set
filled_set.add(5)  # filled_set is now {1, 2, 3, 4, 5}
# Sets do not have duplicate elements
filled_set.add(5)  # it remains as before {1, 2, 3, 4, 5}
# Do set intersection with &amp;
other_set = {3, 4, 5, 6}
filled_set &amp; other_set  # =&gt; {3, 4, 5}
# Do set union with |
filled_set | other_set  # =&gt; {1, 2, 3, 4, 5, 6}
# Do set difference with -
{1, 2, 3, 4} - {2, 3, 5}  # =&gt; {1, 4}
# Do set symmetric difference with ^
{1, 2, 3, 4} ^ {2, 3, 5}  # =&gt; {1, 4, 5}
# Check if set on the left is a superset of set on the right
{1, 2} &gt;= {1, 2, 3}  # =&gt; False
# Check if set on the left is a subset of set on the right
{1, 2} &lt;= {1, 2, 3}  # =&gt; True
# Check for existence in a set with in
2 in filled_set   # =&gt; True
10 in filled_set  # =&gt; False
# Make a one layer deep copy
filled_set = some_set.copy()  # filled_set is {1, 2, 3, 4, 5}
filled_set is some_set        # =&gt; False
####################################################
## 3. Control Flow and Iterables
####################################################
# Let's just make a variable
some_var = 5
# Here is an if statement. Indentation is significant in Python!
# Convention is to use four spaces, not tabs.
# This prints "some_var is smaller than 10"
if some_var &gt; 10:
    print("some_var is totally bigger than 10.")
elif some_var &lt; 10:    # This elif clause is optional.
    print("some_var is smaller than 10.")
else:                  # This is optional too.
    print("some_var is indeed 10.")
"""
For loops iterate over lists
prints:
    dog is a mammal
    cat is a mammal
    mouse is a mammal
"""
for animal in ["dog", "cat", "mouse"]:
    # You can use format() to interpolate formatted strings
    print("{} is a mammal".format(animal))
"""
"range(number)" returns an iterable of numbers
from zero up to (but excluding) the given number
prints:
    0
    1
    2
    3
"""
for i in range(4):
    print(i)
"""
"range(lower, upper)" returns an iterable of numbers
from the lower number to the upper number
prints:
    4
    5
    6
    7
"""
for i in range(4, 8):
    print(i)
"""
"range(lower, upper, step)" returns an iterable of numbers
from the lower number to the upper number, while incrementing
by step. If step is not indicated, the default value is 1.
prints:
    4
    6
"""
for i in range(4, 8, 2):
    print(i)
"""
Loop over a list to retrieve both the index and the value of each list item:
    0 dog
    1 cat
    2 mouse
"""
animals = ["dog", "cat", "mouse"]
for i, value in enumerate(animals):
    print(i, value)
"""
While loops go until a condition is no longer met.
prints:
    0
    1
    2
    3
"""
x = 0
while x &lt; 4:
    print(x)
    x += 1  # Shorthand for x = x + 1
# Handle exceptions with a try/except block
try:
    # Use "raise" to raise an error
    raise IndexError("This is an index error")
except IndexError as e:
    pass                 # Refrain from this, provide a recovery (next example).
except (TypeError, NameError):
    pass                 # Multiple exceptions can be processed jointly.
else:                    # Optional clause to the try/except block. Must follow
                         # all except blocks.
    print("All good!")   # Runs only if the code in try raises no exceptions
finally:                 # Execute under all circumstances
    print("We can clean up resources here")
# Instead of try/finally to cleanup resources you can use a with statement
with open("myfile.txt") as f:
    for line in f:
        print(line)
# Writing to a file
contents = {"aa": 12, "bb": 21}
with open("myfile1.txt", "w") as file:
    file.write(str(contents))        # writes a string to a file
import json
with open("myfile2.txt", "w") as file:
    file.write(json.dumps(contents))  # writes an object to a file
# Reading from a file
with open("myfile1.txt") as file:
    contents = file.read()           # reads a string from a file
print(contents)
# print: {"aa": 12, "bb": 21}
with open("myfile2.txt", "r") as file:
    contents = json.load(file)       # reads a json object from a file
print(contents)
# print: {"aa": 12, "bb": 21}
# Python offers a fundamental abstraction called the Iterable.
# An iterable is an object that can be treated as a sequence.
# The object returned by the range function, is an iterable.
filled_dict = {"one": 1, "two": 2, "three": 3}
our_iterable = filled_dict.keys()
print(our_iterable)  # =&gt; dict_keys(['one', 'two', 'three']). This is an object
                     # that implements our Iterable interface.
# We can loop over it.
for i in our_iterable:
    print(i)  # Prints one, two, three
# However we cannot address elements by index.
our_iterable[1]  # Raises a TypeError
# An iterable is an object that knows how to create an iterator.
our_iterator = iter(our_iterable)
# Our iterator is an object that can remember the state as we traverse through
# it. We get the next object with "next()".
next(our_iterator)  # =&gt; "one"
# It maintains state as we iterate.
next(our_iterator)  # =&gt; "two"
next(our_iterator)  # =&gt; "three"
# After the iterator has returned all of its data, it raises a
# StopIteration exception
next(our_iterator)  # Raises StopIteration
# We can also loop over it, in fact, "for" does this implicitly!
our_iterator = iter(our_iterable)
for i in our_iterator:
    print(i)  # Prints one, two, three
# You can grab all the elements of an iterable or iterator by call of list().
list(our_iterable)  # =&gt; Returns ["one", "two", "three"]
list(our_iterator)  # =&gt; Returns [] because state is saved
####################################################
## 4. Functions
####################################################
# Use "def" to create new functions
def add(x, y):
    print("x is {} and y is {}".format(x, y))
    return x + y  # Return values with a return statement
# Calling functions with parameters
add(5, 6)  # =&gt; prints out "x is 5 and y is 6" and returns 11
# Another way to call functions is with keyword arguments
add(y=6, x=5)  # Keyword arguments can arrive in any order.
# You can define functions that take a variable number of
# positional arguments
def varargs(*args):
    return args
varargs(1, 2, 3)  # =&gt; (1, 2, 3)
# You can define functions that take a variable number of
# keyword arguments, as well
def keyword_args(**kwargs):
    return kwargs
# Let's call it to see what happens
keyword_args(big="foot", loch="ness")  # =&gt; {"big": "foot", "loch": "ness"}
# You can do both at once, if you like
def all_the_args(*args, **kwargs):
    print(args)
    print(kwargs)
"""
all_the_args(1, 2, a=3, b=4) prints:
    (1, 2)
    {"a": 3, "b": 4}
"""
# When calling functions, you can do the opposite of args/kwargs!
# Use * to expand args (tuples) and use ** to expand kwargs (dictionaries).
args = (1, 2, 3, 4)
kwargs = {"a": 3, "b": 4}
all_the_args(*args)            # equivalent: all_the_args(1, 2, 3, 4)
all_the_args(**kwargs)         # equivalent: all_the_args(a=3, b=4)
all_the_args(*args, **kwargs)  # equivalent: all_the_args(1, 2, 3, 4, a=3, b=4)
# Returning multiple values (with tuple assignments)
def swap(x, y):
    return y, x  # Return multiple values as a tuple without the parenthesis.
                 # (Note: parenthesis have been excluded but can be included)
x = 1
y = 2
x, y = swap(x, y)     # =&gt; x = 2, y = 1
# (x, y) = swap(x,y)  # Again the use of parenthesis is optional.
# global scope
x = 5
def set_x(num):
    # local scope begins here
    # local var x not the same as global var x
    x = num    # =&gt; 43
    print(x)   # =&gt; 43
def set_global_x(num):
    # global indicates that particular var lives in the global scope
    global x
    print(x)   # =&gt; 5
    x = num    # global var x is now set to 6
    print(x)   # =&gt; 6
set_x(43)
set_global_x(6)
"""
prints:
    43
    5
    6
"""
# Python has first class functions
def create_adder(x):
    def adder(y):
        return x + y
    return adder
add_10 = create_adder(10)
add_10(3)   # =&gt; 13
# Closures in nested functions:
# We can use the nonlocal keyword to work with variables in nested scope which shouldn't be declared in the inner functions.
def create_avg():
    total = 0
    count = 0
    def avg(n):
        nonlocal total, count
        total += n
        count += 1
        return total/count
    return avg
avg = create_avg()
avg(3)  # =&gt; 3.0
avg(5)  # (3+5)/2 =&gt; 4.0
avg(7)  # (8+7)/3 =&gt; 5.0
# There are also anonymous functions
(lambda x: x &gt; 2)(3)                  # =&gt; True
(lambda x, y: x ** 2 + y ** 2)(2, 1)  # =&gt; 5
# There are built-in higher order functions
list(map(add_10, [1, 2, 3]))          # =&gt; [11, 12, 13]
list(map(max, [1, 2, 3], [4, 2, 1]))  # =&gt; [4, 2, 3]
list(filter(lambda x: x &gt; 5, [3, 4, 5, 6, 7]))  # =&gt; [6, 7]
# We can use list comprehensions for nice maps and filters
# List comprehension stores the output as a list (which itself may be nested).
[add_10(i) for i in [1, 2, 3]]         # =&gt; [11, 12, 13]
[x for x in [3, 4, 5, 6, 7] if x &gt; 5]  # =&gt; [6, 7]
# You can construct set and dict comprehensions as well.
{x for x in "abcddeef" if x not in "abc"}  # =&gt; {'d', 'e', 'f'}
{x: x**2 for x in range(5)}  # =&gt; {0: 0, 1: 1, 2: 4, 3: 9, 4: 16}
####################################################
## 5. Modules
####################################################
# You can import modules
import math
print(math.sqrt(16))  # =&gt; 4.0
# You can get specific functions from a module
from math import ceil, floor
print(ceil(3.7))   # =&gt; 4
print(floor(3.7))  # =&gt; 3
# You can import all functions from a module.
# Warning: this is not recommended
from math import *
# You can shorten module names
import math as m
math.sqrt(16) == m.sqrt(16)  # =&gt; True
# Python modules are just ordinary Python files. You
# can write your own, and import them. The name of the
# module is the same as the name of the file.
# You can find out which functions and attributes
# are defined in a module.
import math
dir(math)
# If you have a Python script named math.py in the same
# folder as your current script, the file math.py will
# be loaded instead of the built-in Python module.
# This happens because the local folder has priority
# over Python's built-in libraries.
####################################################
## 6. Classes
####################################################
# We use the "class" statement to create a class
class Human:
    # A class attribute. It is shared by all instances of this class
    species = "H. sapiens"
    # Basic initializer, this is called when this class is instantiated.
    # Note that the double leading and trailing underscores denote objects
    # or attributes that are used by Python but that live in user-controlled
    # namespaces. Methods(or objects or attributes) like: __init__, __str__,
    # __repr__ etc. are called special methods (or sometimes called dunder
    # methods). You should not invent such names on your own.
    def __init__(self, name):
        # Assign the argument to the instance's name attribute
        self.name = name
        # Initialize property
        self._age = 0   # the leading underscore indicates the "age" property is
                        # intended to be used internally
                        # do not rely on this to be enforced: it's a hint to other devs
    # An instance method. All methods take "self" as the first argument
    def say(self, msg):
        print("{name}: {message}".format(name=self.name, message=msg))
    # Another instance method
    def sing(self):
        return "yo... yo... microphone check... one two... one two..."
    # A class method is shared among all instances
    # They are called with the calling class as the first argument
    @classmethod
    def get_species(cls):
        return cls.species
    # A static method is called without a class or instance reference
    @staticmethod
    def grunt():
        return "*grunt*"
    # A property is just like a getter.
    # It turns the method age() into a read-only attribute of the same name.
    # There's no need to write trivial getters and setters in Python, though.
    @property
    def age(self):
        return self._age
    # This allows the property to be set
    @age.setter
    def age(self, age):
        self._age = age
    # This allows the property to be deleted
    @age.deleter
    def age(self):
        del self._age
# When a Python interpreter reads a source file it executes all its code.
# This __name__ check makes sure this code block is only executed when this
# module is the main program.
if __name__ == "__main__":
    # Instantiate a class
    i = Human(name="Ian")
    i.say("hi")                     # "Ian: hi"
    j = Human("Joel")
    j.say("hello")                  # "Joel: hello"
    # i and j are instances of type Human; i.e., they are Human objects.
    # Call our class method
    i.say(i.get_species())          # "Ian: H. sapiens"
    # Change the shared attribute
    Human.species = "H. neanderthalensis"
    i.say(i.get_species())          # =&gt; "Ian: H. neanderthalensis"
    j.say(j.get_species())          # =&gt; "Joel: H. neanderthalensis"
    # Call the static method
    print(Human.grunt())            # =&gt; "*grunt*"
    # Static methods can be called by instances too
    print(i.grunt())                # =&gt; "*grunt*"
    # Update the property for this instance
    i.age = 42
    # Get the property
    i.say(i.age)                    # =&gt; "Ian: 42"
    j.say(j.age)                    # =&gt; "Joel: 0"
    # Delete the property
    del i.age
    # i.age                         # =&gt; this would raise an AttributeError
####################################################
## 6.1 Inheritance
####################################################
# Inheritance allows new child classes to be defined that inherit methods and
# variables from their parent class.
# Using the Human class defined above as the base or parent class, we can
# define a child class, Superhero, which inherits variables like "species",
# "name", and "age", as well as methods, like "sing" and "grunt"
# from the Human class, but can also have its own unique properties.
# To take advantage of modularization by file you could place the classes above
# in their own files, say, human.py
# To import functions from other files use the following format
# from "filename-without-extension" import "function-or-class"
from human import Human
# Specify the parent class(es) as parameters to the class definition
class Superhero(Human):
    # If the child class should inherit all of the parent's definitions without
    # any modifications, you can just use the "pass" keyword (and nothing else)
    # but in this case it is commented out to allow for a unique child class:
    # pass
    # Child classes can override their parents' attributes
    species = "Superhuman"
    # Children automatically inherit their parent class's constructor including
    # its arguments, but can also define additional arguments or definitions
    # and override its methods such as the class constructor.
    # This constructor inherits the "name" argument from the "Human" class and
    # adds the "superpower" and "movie" arguments:
    def __init__(self, name, movie=False,
                 superpowers=["super strength", "bulletproofing"]):
        # add additional class attributes:
        self.fictional = True
        self.movie = movie
        # be aware of mutable default values, since defaults are shared
        self.superpowers = superpowers
        # The "super" function lets you access the parent class's methods
        # that are overridden by the child, in this case, the __init__ method.
        # This calls the parent class constructor:
        super().__init__(name)
    # override the sing method
    def sing(self):
        return "Dun, dun, DUN!"
    # add an additional instance method
    def boast(self):
        for power in self.superpowers:
            print("I wield the power of {pow}!".format(pow=power))
if __name__ == "__main__":
    sup = Superhero(name="Tick")
    # Instance type checks
    if isinstance(sup, Human):
        print("I am human")
    if type(sup) is Superhero:
        print("I am a superhero")
    # Get the "Method Resolution Order" used by both getattr() and super()
    # (the order in which classes are searched for an attribute or method)
    # This attribute is dynamic and can be updated
    print(Superhero.__mro__)    # =&gt; (&lt;class '__main__.Superhero'&gt;,
                                # =&gt; &lt;class 'human.Human'&gt;, &lt;class 'object'&gt;)
    # Calls parent method but uses its own class attribute
    print(sup.get_species())    # =&gt; Superhuman
    # Calls overridden method
    print(sup.sing())           # =&gt; Dun, dun, DUN!
    # Calls method from Human
    sup.say("Spoon")            # =&gt; Tick: Spoon
    # Call method that exists only in Superhero
    sup.boast()                 # =&gt; I wield the power of super strength!
                                # =&gt; I wield the power of bulletproofing!
    # Inherited class attribute
    sup.age = 31
    print(sup.age)              # =&gt; 31
    # Attribute that only exists within Superhero
    print("Am I Oscar eligible? " + str(sup.movie))
####################################################
## 6.2 Multiple Inheritance
####################################################
# Another class definition
# bat.py
class Bat:
    species = "Baty"
    def __init__(self, can_fly=True):
        self.fly = can_fly
    # This class also has a say method
    def say(self, msg):
        msg = "... ... ..."
        return msg
    # And its own method as well
    def sonar(self):
        return "))) ... ((("
if __name__ == "__main__":
    b = Bat()
    print(b.say("hello"))
    print(b.fly)
# And yet another class definition that inherits from Superhero and Bat
# superhero.py
from superhero import Superhero
from bat import Bat
# Define Batman as a child that inherits from both Superhero and Bat
class Batman(Superhero, Bat):
    def __init__(self, *args, **kwargs):
        # Typically to inherit attributes you have to call super:
        # super(Batman, self).__init__(*args, **kwargs)
        # However we are dealing with multiple inheritance here, and super()
        # only works with the next base class in the MRO list.
        # So instead we explicitly call __init__ for all ancestors.
        # The use of *args and **kwargs allows for a clean way to pass
        # arguments, with each parent "peeling a layer of the onion".
        Superhero.__init__(self, "anonymous", movie=True,
                           superpowers=["Wealthy"], *args, **kwargs)
        Bat.__init__(self, *args, can_fly=False, **kwargs)
        # override the value for the name attribute
        self.name = "Sad Affleck"
    def sing(self):
        return "nan nan nan nan nan batman!"
if __name__ == "__main__":
    sup = Batman()
    # The Method Resolution Order
    print(Batman.__mro__)     # =&gt; (&lt;class '__main__.Batman'&gt;,
                              # =&gt; &lt;class 'superhero.Superhero'&gt;,
                              # =&gt; &lt;class 'human.Human'&gt;,
                              # =&gt; &lt;class 'bat.Bat'&gt;, &lt;class 'object'&gt;)
    # Calls parent method but uses its own class attribute
    print(sup.get_species())  # =&gt; Superhuman
    # Calls overridden method
    print(sup.sing())         # =&gt; nan nan nan nan nan batman!
    # Calls method from Human, because inheritance order matters
    sup.say("I agree")        # =&gt; Sad Affleck: I agree
    # Call method that exists only in 2nd ancestor
    print(sup.sonar())        # =&gt; ))) ... (((
    # Inherited class attribute
    sup.age = 100
    print(sup.age)            # =&gt; 100
    # Inherited attribute from 2nd ancestor whose default value was overridden.
    print("Can I fly? " + str(sup.fly))  # =&gt; Can I fly? False
####################################################
## 7. Advanced
####################################################
# Generators help you make lazy code.
def double_numbers(iterable):
    for i in iterable:
        yield i + i
# Generators are memory-efficient because they only load the data needed to
# process the next value in the iterable. This allows them to perform
# operations on otherwise prohibitively large value ranges.
# NOTE: `range` replaces `xrange` in Python 3.
for i in double_numbers(range(1, 900000000)):  # `range` is a generator.
    print(i)
    if i &gt;= 30:
        break
# Just as you can create a list comprehension, you can create generator
# comprehensions as well.
values = (-x for x in [1,2,3,4,5])
for x in values:
    print(x)  # prints -1 -2 -3 -4 -5 to console/terminal
# You can also cast a generator comprehension directly to a list.
values = (-x for x in [1,2,3,4,5])
gen_to_list = list(values)
print(gen_to_list)  # =&gt; [-1, -2, -3, -4, -5]
# Decorators are a form of syntactic sugar.
# They make code easier to read while accomplishing clunky syntax.
# Wrappers are one type of decorator.
# They're really useful for adding logging to existing functions without needing to modify them.
def log_function(func):
    def wrapper(*args, **kwargs):
        print("Entering function", func.__name__)
        result = func(*args, **kwargs)
        print("Exiting function", func.__name__)
        return result
    return wrapper
@log_function               # equivalent:
def my_function(x,y):       # def my_function(x,y):
    return x+y              #   return x+y
                            # my_function = log_function(my_function)
# The decorator @log_function tells us as we begin reading the function definition
# for my_function that this function will be wrapped with log_function.
# When function definitions are long, it can be hard to parse the non-decorated
# assignment at the end of the definition.
my_function(1,2)  # =&gt; "Entering function my_function"
                  # =&gt; "3"
                  # =&gt; "Exiting function my_function"
# But there's a problem.
# What happens if we try to get some information about my_function?
print(my_function.__name__)  # =&gt; 'wrapper'
print(</t>
  </si>
  <si>
    <t>```
sudo adduser swen
```</t>
  </si>
  <si>
    <t>```
sudo usermod -aG sudo,casaos swen
```</t>
  </si>
  <si>
    <t>```
sudo userdel -r swen
```</t>
  </si>
  <si>
    <t>```
sudo usermod -l &lt;new-name&gt; &lt;old-name&gt;
```</t>
  </si>
  <si>
    <t>```
sudo usermod -l johndoe student1
```</t>
  </si>
  <si>
    <t>```
sudo usermod -a -G work,home,school john
```</t>
  </si>
  <si>
    <t>```
sudo usermod -d /home/joedoe -m johndoe
```</t>
  </si>
  <si>
    <t>```
sudo groupmod -n johndoe student1
```</t>
  </si>
  <si>
    <t>```
sudo usermod -u 5001 johndoe
```</t>
  </si>
  <si>
    <t>```
sudo cut -d: -f1 /etc/passwd
```</t>
  </si>
  <si>
    <t>```meta-bind-button
label: Open my local xlsx (2024)
icon: grid
hidden: false
class: ""
tooltip: Open my local spreadsheet of Bellingcat's Online Investigation Toolkit
id: ""
style: primary
actions:
  - type: command
    command: obsidian-shellcommands:shell-command-53zwztzt55
```</t>
  </si>
  <si>
    <t>```
---
mapWithTag: true
---
```</t>
  </si>
  <si>
    <t>```dataview
table address, interests, friend
from #person AND -"z_meta" AND !"fileClass"
```</t>
  </si>
  <si>
    <t>```dataviewjs
const {fieldModifier: f} = this.app.plugins.plugins["metadata-menu"].api;
console.log('pages,', dv.pages("#person"))
dv.table(["Name", "Address", "Interests", "Friend?"],
	dv.pages("#person")
	.filter(p =&gt; !p.file.path.includes('templates'))
	.filter(p =&gt; !p.file.path.includes('fileClass'))
	.map(p =&gt; [
		p.file.link,
		f(dv, p, "address"),
		f(dv, p, "interests"),
		f(dv, p, "friend")
	]));
```</t>
  </si>
  <si>
    <t>JS</t>
  </si>
  <si>
    <t>```js
const {fieldModifier: f} = this.app.plugins.plugins["metadata-menu"].api;
```</t>
  </si>
  <si>
    <t>```md
---
hoursSlept: 8
---
```</t>
  </si>
  <si>
    <t>```dataview
list
from "z_meta/templates/addons"
```</t>
  </si>
  <si>
    <t>```
	C:\Program Files (x86)\Common Files\Sonic Shared\PX Drivers
	C:\Windows\System32\drivers
```</t>
  </si>
  <si>
    <t>``` tracker
searchType: dvField
searchTarget: Physical, Mental, Emotional, Spiritual
datasetName: Physical, Mental, Emotional, Spiritual
folder: /dailyNotes
month:
    mode: annotation
    startWeekOn: 'Sun'
    threshold: 7, 7, 7, 7
    color: white
    dimNotInMonth: false
    annotation: 💪,🧠,😊,🙏
    showAnnotationOfAllTargets: true
```</t>
  </si>
  <si>
    <t>``` tracker
searchType: dvField
searchTarget: Physical, Mental, Emotional, Spiritual
datasetName: Physical, Mental, Emotional, Spiritual
folder: /dailyNotes
month:
    startWeekOn: 'Sun'
    threshold: 7, 7, 7, 7
    color: green
    dimNotInMonth: false
    todayRingColor: white
    selectedRingColor: steelblue
    circleColorByValue: true
    showSelectedValue: true
```</t>
  </si>
  <si>
    <t>``` tracker
searchType: task.done, task.all
searchTarget: Read, Read
folder: /dailyNotes
summary:
    template: "Read - {{sum(dataset(0))/sum(dataset(1))*100}}% - {{sum(dataset(0))}}/{{sum(dataset(1))}} Days Completed"
```</t>
  </si>
  <si>
    <t>``` tracker
searchType: task.done, task.notdone
searchTarget: Read, Read
folder: /dailyNotes
datasetName: Read, Not Read
month:
    color: green
    todayRingColor: white
    selectedRingColor: steelblue
    showSelectedValue: false
```</t>
  </si>
  <si>
    <t>```
startDate: YYYY-MM-DD
endDate: YYYY-MM-DD
```</t>
  </si>
  <si>
    <t>```
searchType: dvField
- dvField means that the value it is looking for in the note is an in-line metadata field, like Physical:: 9
searchTarget: Physical, Mental, Emotional, Spiritual
- the metadata fields you want to display
datasetName: Physical, Mental, Emotional, Spiritual
- The names to be used in the legend at the bottom
line:
	title: Energy
    yMax: 10
    yAxisLabel: Phys (R) / Ment (B) Emot (Y) / Spir (G)
    showLegend: true
    legendOrientation: vertical
    - used to show legends
    fillGap: true
    - so the lines don't discontinue when you forget to put in values for a day
```</t>
  </si>
  <si>
    <t>```
month:
    mode: annotation
    - Allows for the summary view
    startWeekOn: 'Sun'
    threshold: 7, 7, 7, 7
    - Must match or be avbo
    color: white
    dimNotInMonth: false
    annotation: 💪,🧠,😊,🙏
    - set in same order
    showAnnotationOfAllTargets: true
    - set false to be able to toggle between by clicking on the field label at the top
```</t>
  </si>
  <si>
    <t>```
searchType: task.done, task.all
- can also use task.notdone
searchTarget: Read, Read
- Value should be the content on the same line as the task checkbox, which is duplicated since we need both done and all values
folder: /dailyNotes
summary:
    template: "Read - {{sum(dataset(0))/sum(dataset(1))*100}}% - {{sum(dataset(0))}}/{{sum(dataset(1))}} Days Completed"
    -
```</t>
  </si>
  <si>
    <t>```tracker
searchType: dvField
searchTarget: Physical
folder: /dailyNotes
summary:
    template: "Minimum: {{min()}}\nMaximum: {{max()}}\nMedian: {{median()}}\nAverage: {{average()}}\nSum: {{sum()}}"
```</t>
  </si>
  <si>
    <t>```tracker
searchType: dvField
searchTarget: Physical, Mental, Emotional, Spiritual
folder: /dailyNotes
summary:
    template: "AVERAGES\nPhysical: {{average(dataset(0))}}\nMental: {{average(dataset(1))}}\nEmotional: {{average(dataset(2))}}\nSpiritual: {{average(dataset(3))}}\n"
```</t>
  </si>
  <si>
    <t>```query
line:("Created:: Open Task Review")
```</t>
  </si>
  <si>
    <t>```
&lt;mark class="red"&gt;140 red&lt;/mark&gt;
&lt;mark class="green"&gt;140  green &lt;/mark&gt;
&lt;mark class="blue"&gt;140  blue &lt;/mark&gt;
&lt;mark class="yellow"&gt;140  yellow &lt;/mark&gt;
&lt;mark class="mint"&gt;140  mint &lt;/mark&gt;
&lt;mark class="aqua"&gt;140  aqua &lt;/mark&gt;
&lt;mark class="purple"&gt;140  purple &lt;/mark&gt;
&lt;mark class="pink"&gt;140  pink &lt;/mark&gt;
&lt;mark class="orange"&gt;140  orange &lt;/mark&gt;
&lt;mark class="grey"&gt;140  grey &lt;/mark&gt;
```</t>
  </si>
  <si>
    <t>```
sudo passwd casaos
```</t>
  </si>
  <si>
    <t>```
sudo adduser swen
sudo usermod -aG sudo swen
```</t>
  </si>
  <si>
    <t>```dataview
TABLE WITHOUT ID
   file.link as "Note",
  Status as "Status"
 Where Status = "📝" and -"z_meta"
```</t>
  </si>
  <si>
    <t>BASH</t>
  </si>
  <si>
    <t>```bash
$ vim --version
Command 'vim' not found, but can be installed with:
sudo apt install vim         # version 2:8.2.2434-3ubuntu3.2
sudo apt install vim-tiny    # version 2:8.2.2434-3ubuntu3.2
sudo apt install vim-athena  # version 2:8.2.2434-3ubuntu3.2
sudo apt install vim-gtk3    # version 2:8.2.2434-3ubuntu3.2
sudo apt install vim-nox     # version 2:8.2.2434-3ubuntu3.2
sudo apt install neovim      # version 0.4.4-1
```</t>
  </si>
  <si>
    <t>```bash
$ sudo apt install vim
```</t>
  </si>
  <si>
    <t>```bash
$ touch sample_text.txt
```</t>
  </si>
  <si>
    <t>```bash
$ nano sample.txt
```</t>
  </si>
  <si>
    <t>```bash
This is an article covering search &amp; replace with Vim.
Vim is a powerful text editor used on the CLI.
We'll cover different scenarios of search &amp; replace in this article.
This will be the last line on the sample file.
```</t>
  </si>
  <si>
    <t>```bash
$ vim sample.txt
```</t>
  </si>
  <si>
    <t>```bash
/article
```</t>
  </si>
  <si>
    <t>```bash
cgn
```</t>
  </si>
  <si>
    <t>```bash
This is an tutorial covering search &amp; replace with Vim.
Vim is a powerful text editor used on the CLI.
We'll cover different scenarios of search &amp; replace in this tutorial.
This will be the last line on the sample file.
```</t>
  </si>
  <si>
    <t>```bash
:s/&lt;search_phrase&gt;/&lt;replace_phrase&gt;/options
```</t>
  </si>
  <si>
    <t>RUBY</t>
  </si>
  <si>
    <t>```ruby
$ sudo pacman -S vim
```</t>
  </si>
  <si>
    <t>```css
@import url("path/filename.css");
```</t>
  </si>
  <si>
    <t>```css
@import url(chrome/tab_close_button_always_on_hover.css);
@import url(chrome/tab_loading_progress_throbber.css);
@import url(chrome/button_effect_scale_onclick.css);
:root{
  --toolbar-bgcolor: rgb(36,44,59) !important;
  --uc-menu-bkgnd: var(--toolbar-bgcolor);
  --arrowpanel-background: var(--toolbar-bgcolor) !important;
  --autocomplete-popup-background: var(--toolbar-bgcolor) !important;
  --uc-menu-disabled: rgb(90,90,90) !important;
  --lwt-toolbar-field-focus: rgb(36,44,59) !important;
}
```</t>
  </si>
  <si>
    <t>```css
@import url(theme_color_variables.css);
@import url(theme_sidebar.css);
@import url(theme_toolbars.css);
@import url(theme_popups_and_menus.css);
/* Your other rules here */
```</t>
  </si>
  <si>
    <t>```
&lt;profile_folder&gt;
|_ chrome
|   |_ userChrome.css
|   |_ userContent.css
|_ extensions
|_ prefs.js
...
all other profile folders and files
...
```</t>
  </si>
  <si>
    <t>```
jFvHW3gI4SvSj7mCASyK7ejyi693eQw9pMXOK5j5
```</t>
  </si>
  <si>
    <t>```
curl -X GET "https://api.cloudflare.com/client/v4/user/tokens/verify" \
	-H "Authorization: Bearer jFvHW3gI4SvSj7mCASyK7ejyi693eQw9pMXOK5j5" \        
	-H "Content-Type:application/json"
```</t>
  </si>
  <si>
    <t>```
tf3l_q3pzOm3poxuMATSKyiygDK4GnamqrqOIyyt
```</t>
  </si>
  <si>
    <t>```
version: "3.2"
services:
  radarr:
    container_name: radarr
    image: ghcr.io/hotio/radarr:latest
    restart: unless-stopped
    logging:
      driver: json-file
    ports:
      - 7878:7878
    environment:
      - PUID=1000
      - PGID=1000
      - TZ=Europe/Amsterdam
    volumes:
      - /etc/localtime:/etc/localtime:ro
      - /docker/appdata/radarr:/config
      - /data:/data
  sonarr:
    container_name: sonarr
    image: ghcr.io/hotio/sonarr:latest
    restart: unless-stopped
    logging:
      driver: json-file
    ports:
      - 8989:8989
    environment:
      - PUID=1000
      - PGID=1000
      - TZ=Europe/Amsterdam
    volumes:
      - /etc/localtime:/etc/localtime:ro
      - /docker/appdata/sonarr:/config
      - /data:/data
  bazarr:
    container_name: bazarr
    image: ghcr.io/hotio/bazarr:latest
    restart: unless-stopped
    logging:
      driver: json-file
    ports:
      - 6767:6767
    environment:
      - PUID=1000
      - PGID=1000
      - TZ=Europe/Amsterdam
    volumes:
      - /etc/localtime:/etc/localtime:ro
      - /docker/appdata/bazarr:/config
      - /data/media:/data/media
  sabnzbd:
    container_name: sabnzbd
    image: ghcr.io/hotio/sabnzbd:latest
    restart: unless-stopped
    logging:
      driver: json-file
    ports:
      - 8080:8080
      - 9090:9090
    environment:
      - PUID=1000
      - PGID=1000
      - TZ=Europe/Amsterdam
    volumes:
      - /etc/localtime:/etc/localtime:ro
      - /docker/appdata/sabnzbd:/config
      - /data/usenet:/data/usenet:rw
```</t>
  </si>
  <si>
    <t>```
ipconfig/flushdns
```</t>
  </si>
  <si>
    <t>```
git clone https://github.com/kylemanna/docker-openvpn.git
```</t>
  </si>
  <si>
    <t>```
cd docker-openvpn/
```</t>
  </si>
  <si>
    <t>```
docker build -t myownvpn .
```</t>
  </si>
  <si>
    <t>```
cd ..
mkdir vpn-data &amp;&amp; touch vpn-data/vars
```</t>
  </si>
  <si>
    <t>```
$ docker run -v $PWD/vpn-data:/etc/openvpn --rm myownvpn ovpn_genconfig -u udp://IP_ADDRESS:3000
Processing PUSH Config: 'block-outside-dns'
Processing Route Config: '192.168.254.0/24'
Processing PUSH Config: 'dhcp-option DNS 8.8.8.8'
Processing PUSH Config: 'dhcp-option DNS 8.8.4.4'
Successfully generated config
Cleaning up before Exit ...
```</t>
  </si>
  <si>
    <t>```
$ docker run -v $PWD/vpn-data:/etc/openvpn --rm -it myownvpn ovpn_initpki
init-pki complete; you may now create a CA or requests.
Your newly created PKI dir is: /etc/openvpn/pki
Generating a 2048 bit RSA private key
............................................................................+++
....+++
writing new private key to '/etc/openvpn/pki/private/ca.key.XXXXCFGIEm'
Enter PEM pass phrase:
Verifying - Enter PEM pass phrase:
...
Common Name (eg: your user, host, or server name) [Easy-RSA CA]:g
CA creation complete and you may now import and sign cert requests.
Your new CA certificate file for publishing is at:
/etc/openvpn/pki/ca.crt
Generating DH parameters, 2048 bit long safe prime, generator 2
This is going to take a long time
... # Wait a while
Enter pass phrase for /etc/openvpn/pki/private/ca.key:
Check that the request matches the signature
...
Enter pass phrase for /etc/openvpn/pki/private/ca.key:
An updated CRL has been created.
CRL file: /etc/openvpn/pki/crl.pem
```</t>
  </si>
  <si>
    <t>```
$ docker run -v $PWD/vpn-data:/etc/openvpn -d -p 3000:1194/udp --cap-add=NET_ADMIN myownvpn
```</t>
  </si>
  <si>
    <t>```
$ docker run -v $PWD/vpn-data:/etc/openvpn --rm -it myownvpn easyrsa build-client-full user1 nopass
Generating a 2048 bit RSA private key
........................................................+++
..........................................................+++
writing new private key to '/etc/openvpn/pki/private/user1.key.XXXXeoGIJE'
-----
Using configuration from /usr/share/easy-rsa/openssl-1.0.cnf
Enter pass phrase for /etc/openvpn/pki/private/ca.key:
...
```</t>
  </si>
  <si>
    <t>```
docker run -v $PWD/vpn-data:/etc/openvpn --rm myownvpn ovpn_getclient user1 &gt; user1.ovpn
```</t>
  </si>
  <si>
    <t>```
sudo adduser swen        # this will ask for a new password
# Now, make it a superuser account:
sudo usermod -aG sudo swen
```</t>
  </si>
  <si>
    <t>```
passwd casaos
```</t>
  </si>
  <si>
    <t>```
df -h
Filesystem                         Size  Used Avail Use% Mounted on
udev                               1.9G     0  1.9G   0% /dev
tmpfs                              377M  5.8M  371M   2% /run
/dev/sda2                          3.5T   36G  3.3T   2% /
tmpfs                              1.9G     0  1.9G   0% /dev/shm
tmpfs                              5.0M  4.0K  5.0M   1% /run/lock
/dev/mmcblk0p1                     511M  5.8M  506M   2% /boot/efi
tmpfs                              377M   72K  377M   1% /run/user/1000
/dev/sdc2                           19T  6.0T   13T  33% /media/P_20TB
/dev/sdb1                          3.6T  1.5M  3.6T   1% /mnt/sda_4tb
slarsen2_dropbox_1700929342:       3.1T  193G  2.9T   7% /mnt/slarsen2_dropbox_1700929342
slarsen2_google_drive_1700929401:  2.0T  123G  1.9T   6% /mnt/slarsen2_google_drive_1700929401
tmpfs                              377M   56K  377M   1% /run/user/1001
//10.0.0.182/DVBLink                22T   13T  8.9T  60% /mnt/10.0.0.182/DVBLink
//10.0.0.182/Public                 22T   13T  8.9T  60% /mnt/10.0.0.182/Public
//10.0.0.182/SmartWare              22T   13T  8.9T  60% /mnt/10.0.0.182/SmartWare
//10.0.0.182/TimeMachineBackup      22T   13T  8.9T  60% /mnt/10.0.0.182/TimeMachineBackup
//10.0.0.182/gigi                   22T   13T  8.9T  60% /mnt/10.0.0.182/gigi
//10.0.0.182/salplex                22T   13T  8.9T  60% /mnt/10.0.0.182/salplex
//10.0.0.182/slar                   22T   13T  8.9T  60% /mnt/10.0.0.182/slar
//10.0.0.182/swen                   22T   13T  8.9T  60% /mnt/10.0.0.182/swen
```</t>
  </si>
  <si>
    <t>```
# Install some useful apps...but first run...
sudo apt update   # Update the App Library, I took the default on everyting.
# DO NOT DO THIS. KEEP CASAOS STABLE
# sudo apt upgrade # DO NOT DO THIS. KEEP CASAOS STABLE
sudo apt install git-all
sudo apt install vim
sudo apt install neovim
sudo apt install neofetch
sudo apt install exa
sudo su
curl -sS https://starship.rs/install.sh | sh
# moved to above... sudo apt-get install neofetch
sudo apt install bat
mkdir -p ~/.local/bin
ln -s /usr/bin/batcat ~/.local/bin/bat
sudo chown -R swen:swen .*
sudo chown -R swen:swen *
chmod 755 .bashrc .profile
# OPTIONAL
cd ~
sudo git clone https://gitlab.com/slappycat2/arch-linux
sudo chgrp -R swen *
cp -r ./arch-linux/* .
```</t>
  </si>
  <si>
    <t>```
curl --proto '=https' --tlsv1.3 https://sh.rustup.rs -sSf | sh
source "$HOME/.cargo/env"
```</t>
  </si>
  <si>
    <t>```
rustc --version
sudo apt update
# Do not do these
# sudo apt upgrade
# sudo apt install build-essential  # &lt;--- originally failed due to libc6!
```</t>
  </si>
  <si>
    <t>```
curl -LO https://github.com/neovim/neovim/releases/latest/download/nvim.appimage
chmod u+x nvim.appimage
./nvim.appimage
./nvim.appimage --appimage-extract
./squashfs-root/AppRun --version
# Exposing nvim globally.
sudo mv squashfs-root /
sudo ln -s /squashfs-root/AppRun /usr/bin/nvim
nvim
```</t>
  </si>
  <si>
    <t>```
# This installs for Unix (Just plain VIM)
#
# Not needed unless failing
# curl -fLo ~/.vim/autoload/plug.vim --create-dirs https://raw.githubusercontent.com/junegunn/vim-plug/master/plug.vim
```</t>
  </si>
  <si>
    <t>```
# This installs plug.vim for NeoVim
sh -c 'curl -fLo "${XDG_DATA_HOME:-$HOME/.local/share}"/nvim/site/autoload/plug.vim --create-dirs \
       https://raw.githubusercontent.com/junegunn/vim-plug/master/plug.vim'
# Install python3 for neovim
#
sudo apt install python3-neovim
```</t>
  </si>
  <si>
    <t>```
sudo chown -Rv swen ~/.vim
```</t>
  </si>
  <si>
    <t>```dataview
table p_PicThumb, p_NameKnownAs, p_NameLast
from #peeps AND !"fileClass" AND -"z_meta"
sort file.name ASC
```</t>
  </si>
  <si>
    <t>```
root:x:0:0:root:/root:/bin/bash
david:x:1000:1000:david,,,:/home/david:/bin/bash
mongodb:x:122:65534::/home/mongodb:/usr/sbin/nologin
```</t>
  </si>
  <si>
    <t>```
chown esanquiz:esanquiz /home/esanquiz
chown [name]:[group] [directory]
```</t>
  </si>
  <si>
    <t>```
userdel -r david
```</t>
  </si>
  <si>
    <t>```
usermod [options] username
```</t>
  </si>
  <si>
    <t>```
# usermod -c "This is Tecmint" tecmint
```</t>
  </si>
  <si>
    <t>```
# grep -E --color 'tecmint' /etc/passwd
tecmint:x:500:500:This is Tecmint:/home/tecmint:/bin/sh
```</t>
  </si>
  <si>
    <t>```
# grep -E --color '/home/tecmint' /etc/passwd
tecmint:x:500:500:This is Tecmint:/home/tecmint:/bin/sh
```</t>
  </si>
  <si>
    <t>```
# usermod -d /var/www/ tecmint
# grep -E --color '/var/www/' /etc/passwd
tecmint:x:500:500:This is Tecmint:/var/www:/bin/sh
```</t>
  </si>
  <si>
    <t>```
# chage -l tecmint
Last password change					: Nov 02, 2014
Password expires					: never
Password inactive					: never
Account expires						: Dec 01, 2014
Minimum number of days between password change		: 0
Maximum number of days between password change		: 99999
Number of days of warning before password expires	: 7
```</t>
  </si>
  <si>
    <t>```
# usermod -e 2014-11-01 tecmint
# chage -l tecmint
Last password change					: Nov 02, 2014
Password expires					: never
Password inactive					: never
Account expires						: Nov 01, 2014
Minimum number of days between password change		: 0
Maximum number of days between password change		: 99999
Number of days of warning before password expires	: 7
```</t>
  </si>
  <si>
    <t>```
# id tecmint_test
uid=501(tecmint_test) gid=502(tecmint_test) groups=502(tecmint_test)
```</t>
  </si>
  <si>
    <t>```
# usermod -g babin tecmint_test
# id tecmint_test
uid=501(tecmint_test) gid=502(babin) groups=502(tecmint_test)
```</t>
  </si>
  <si>
    <t>```todoist
{
"name": "For Today",
"filter": "(overdue | today)",
"sorting": ["date", "priority"],
}
```</t>
  </si>
  <si>
    <t>```todoist
{
"name": "This week's tasks (including Sunday)",
"filter": "due before: mon",
"sorting": ["date", "priority"],
"group": true
}
```</t>
  </si>
  <si>
    <t>```todoist
{
	"name": "Next week's tasks",
	"filter": "due after:sun &amp; due before:next mon",
	"sorting": ["date", "priority"],
	"group": true
}
```</t>
  </si>
  <si>
    <t>```todoist
{
"name": "Periodic Reviews",
"filter": "#misc &amp; /periodicReviews",
"sorting": ["date", "priority"]
}
```</t>
  </si>
  <si>
    <t>```
http://webcache.googleusercontent.com/search?q=cache:
```</t>
  </si>
  <si>
    <t>```
 http://webcache.googleusercontent.com/search?q=cache:https://medium.com/example-article
```</t>
  </si>
  <si>
    <t>```
http://webcache.googleusercontent.com/search?q=cache:https://medium.com/quant-factory/chatgpt-trading-strategy-fully-backtested-with-python-70e6769ab550
```</t>
  </si>
  <si>
    <t>```
from [[&lt;%tp.file.title%&gt;]]
where kanban-plugin = "basic"
```</t>
  </si>
  <si>
    <t>```
"C:\Windows\System32\LogFiles\Srt\SrtTrail.txt"
```</t>
  </si>
  <si>
    <t>```dataviewjs
console.log("dateOne and Two ")
let dateOne = dv.current().dNoteDate;
console.log("dateOne:", dateOne)
let dateTwo = dv.date(moment().startOf('day').toISOString())
// Function call
console.log("dateTwo:", dateTwo)
let result = dateOne.diff(dateTwo, 'days').values.days
console.log("No of Days:", result)
```</t>
  </si>
  <si>
    <t>```dataviewjs
console.log("logging")
console.log(moment("2024-12-23","YYYY-MM-DD"));
console.log(moment());
console.log(moment("2024-12-23","YYYY-MM-DD").diff(moment(),'weeks').values);
console.log("End logging")
```</t>
  </si>
  <si>
    <t>```gEvent
type: week
exclude: []
include: []
hourRange:
  - 6
  - 21
offset: ; window.moment("2024-12-23","YYYY-MM-DD").diff(window.moment(),'days').values.days;
timespan: 7
showAllDay: true
navigation: true
```</t>
  </si>
  <si>
    <t>```dataviewjs
const {fieldModifier: f} = this.app.plugins.plugins["metadata-menu"].api;
dv.table(['Name', 'KnownAs' , 'Phone', 'Photo'],
	dv.pages("#peeps")
	.filter(p =&gt; !p.file.path.includes('templates'))
	.filter(p =&gt; !p.file.path.includes('fileClass'))
	.sort(p =&gt; p.file.name, "asc")
	.map(p =&gt; [
		p.file.link,
		f(dv, p, "p_NameKnownAs"),
		f(dv, p, "p_ContactPhone"),
		f(dv, p, "p_Pic")
		])
	)
```</t>
  </si>
  <si>
    <t>```dataview
table bioPicThumb, bioNameKnownAs, bioNameLast
from #person AND !"fileClass" AND -"z_meta"
```</t>
  </si>
  <si>
    <t>```dataviewjs
const {fieldModifier: f} = this.app.plugins.plugins["metadata-menu"].api;
dv.table(['Name', , 'Last', 'Photo'],
	dv.pages("#person")
	.filter(p =&gt; !p.file.path.includes('templates'))
	.filter(p =&gt; !p.file.path.includes('fileClass'))
	.map(p =&gt; [
		p.file.link,
		f(dv, p, "bioNameKnownAs"),
		f(dv, p, "bioNameLast"),
		f(dv, p, "bioPicfriend")
	])
)
```</t>
  </si>
  <si>
    <t>```
this is using dataview
TASK
WHERE !completed and !kanban-plugin and !checklist
GROUP BY file.link
limit 20
```</t>
  </si>
  <si>
    <t>```dataview
table Deadline
FROM #⚡ AND [[&lt;%tp.file.title%&gt;]]
SORT Deadline asc
```</t>
  </si>
  <si>
    <t>```dataview
table Status, Rating, author as Author
FROM #i AND [[&lt;%tp.file.title%&gt;]]
SORT file.mtime desc
```</t>
  </si>
  <si>
    <t>```dataview
table Created
FROM [[&lt;%tp.file.title%&gt;]] AND !#⚓ AND !#📥
SORT file.mtime desc
```</t>
  </si>
  <si>
    <t>```dataview
list from [[&lt;%tp.file.title%&gt;]] AND !outgoing([[&lt;%tp.file.title%&gt;]]) AND !#i and !#thoughts
```</t>
  </si>
  <si>
    <t>```dataview
table Tags as Type, Links, Created
from #🗺️ AND #i AND -"/templates"
sort Tags desc
```</t>
  </si>
  <si>
    <t>```dataview
table Created
from [[&lt;%tp.file.title%&gt;]] AND #thoughts
sort file.mtime desc
```</t>
  </si>
  <si>
    <t>```query
line:("Created:: &lt;%tp.file.title%&gt;")
```</t>
  </si>
  <si>
    <t>```button
name Calculate Total
type command
action Advanced Tables: Evaluate table formulas
```</t>
  </si>
  <si>
    <t>``` tracker
searchType: dvField
searchTarget: Physical, Mental, Emotional, Spiritual
datasetName: Physical, Mental, Emotional, Spiritual
folder: /dailyNotes
month:
    startWeekOn: 'Sun'
    threshold: 7, 7, 7, 7
    color: green
    dimNotInMonth: false
    todayRingColor: white
    selectedRingColor: steelblue
    circleColorByValue: true
    showSelectedValue: true
    initMonth: &lt;% moment(tp.file.title, "YYYY-[M]MM").format("YYYY-MM") %&gt;
```</t>
  </si>
  <si>
    <t>``` tracker
searchType: task.done, task.notdone
searchTarget: Meditate, Meditate
folder: /dailyNotes
datasetName: Meditate, Not Meditate
month:
    color: green
    todayRingColor: white
    selectedRingColor: steelblue
    showSelectedValue: false
    initMonth: &lt;% moment(tp.file.title, "YYYY-[M]MM").format("YYYY-MM") %&gt;
```</t>
  </si>
  <si>
    <t>``` tracker
searchType: task.done, task.all
searchTarget: Meditate, Meditate
folder: /dailyNotes
startDate: &lt;% moment(tp.file.title,'YYYY-[M]MM').startOf('month').format('YYYY-MM-DD') %&gt;
endDate: &lt;% moment(tp.file.title,'YYYY-[M]MM').endOf('month').format('YYYY-MM-DD') %&gt;
summary:
    template: "Meditate - {{sum(dataset(0))/sum(dataset(1))*100}}% - {{sum(dataset(0))}}/{{sum(dataset(1))}} Days Completed"
```</t>
  </si>
  <si>
    <t>```dataview
task
where file.name = "&lt;%tp.file.title%&gt;"
```</t>
  </si>
  <si>
    <t>```dataview
table Total as Rating, Summary, Personal, Career
from #reviews/weekly AND [[&lt;%tp.file.title%&gt;]]
sort file.name asc
```</t>
  </si>
  <si>
    <t>```tracker
searchType: dvField
searchTarget: Physical, Mental, Emotional, Spiritual
folder: /dailyNotes
startDate: &lt;% moment(tp.file.title,'YYYY-[M]MM').startOf('month').format('YYYY-MM-DD') %&gt;
endDate: &lt;% moment(tp.file.title,'YYYY-[M]MM').endOf('month').format('YYYY-MM-DD') %&gt;
summary:
    template: "AVERAGES\nPhysical: {{average(dataset(0))}}\nMental: {{average(dataset(1))}}\nEmotional: {{average(dataset(2))}}\nSpiritual: {{average(dataset(3))}}\n"
```</t>
  </si>
  <si>
    <t>```dataview
table Total as Rating, Summary, Personal, Career
from #reviews/monthly AND [[&lt;%tp.file.title%&gt;]]
sort file.name desc
```</t>
  </si>
  <si>
    <t>``` tracker
searchType: dvField
searchTarget: Physical, Mental, Emotional, Spiritual
folder: /dailyNotes
startDate: &lt;% moment(tp.file.title,'YYYY-[W]WW').day(1).format("YYYY-MM-DD") %&gt;
endDate: &lt;% moment(tp.file.title,'YYYY-[W]WW').add(1,'weeks').day(0).format("YYYY-MM-DD") %&gt;
line:
    title: Energy
    yMax: 10
    yAxisLabel: Phys (R) / Ment (B) Emot (Y) / Spir (G)
    lineColor: red, blue, yellow, green
```</t>
  </si>
  <si>
    <t>```dataview
table deadline, area
FROM [[&lt;% moment(tp.file.title,'YYYY-[W]WW').add('1', 'weeks').format("YYYY-[W]WW") %&gt;]] AND #projects
WHERE file.name != "Project Template"
SORT deadline asc
```</t>
  </si>
  <si>
    <t>```dataview
table Rating as ⭐, Sentence as Summary, Story, headings as ✍️
from [[&lt;%tp.file.title%&gt;]] AND "dailyNotes"
sort file.name asc
```</t>
  </si>
  <si>
    <t>```dataview
table deadline as Deadline, area as Area
FROM [[&lt;% moment(tp.file.title,'YYYY-[W]WW').format("YYYY-[W]WW") %&gt;]] AND #projects
WHERE file.name != "Project Template"
SORT deadline asc
```</t>
  </si>
  <si>
    <t>```dataview
TABLE WITHOUT ID
regexreplace(Tasks.text, "@\[.*$", "") as Task,
meta(Tasks.section).subpath as "Status",
file.link as "Board"
from "1-Projects"
where kanban-plugin = "basic"
FLATTEN file.tasks As Tasks
WHERE contains(Tasks.text, "&lt;% moment(tp.file.title,'YYYY-[W]WW').day(1).format("YYYY-MM-DD") %&gt;") OR
contains(Tasks.text, "&lt;% moment(tp.file.title,'YYYY-[W]WW').add(-1,'weeks').day(2).format("YYYY-MM-DD") %&gt;") OR
contains(Tasks.text, "&lt;% moment(tp.file.title,'YYYY-[W]WW').add(-1,'weeks').day(3).format("YYYY-MM-DD") %&gt;") OR
contains(Tasks.text, "&lt;% moment(tp.file.title,'YYYY-[W]WW').add(-1,'weeks').day(4).format("YYYY-MM-DD") %&gt;") OR
contains(Tasks.text, "&lt;% moment(tp.file.title,'YYYY-[W]WW').add(-1,'weeks').day(5).format("YYYY-MM-DD") %&gt;") OR
contains(Tasks.text, "&lt;% moment(tp.file.title,'YYYY-[W]WW').add(-1,'weeks').day(6).format("YYYY-MM-DD") %&gt;") OR contains(Tasks.text, "&lt;% moment(tp.file.title,'YYYY-[W]WW').add(1,'weeks').day(0).format("YYYY-MM-DD") %&gt;")
SORT date(Tasks.due.file.name)
```</t>
  </si>
  <si>
    <t>```tracker
searchType: dvField
searchTarget: Physical, Mental, Emotional, Spiritual
folder: /dailyNotes
startDate: &lt;% moment(tp.file.title,'YYYY-[W]WW').day(1).format("YYYY-MM-DD") %&gt;
endDate: &lt;% moment(tp.file.title,'YYYY-[W]WW').add(1,'weeks').day(0).format("YYYY-MM-DD") %&gt;
summary:
    template: "AVERAGES\nPhysical: {{average(dataset(0))}}\nMental: {{average(dataset(1))}}\nEmotional: {{average(dataset(2))}}\nSpiritual: {{average(dataset(3))}}\n"
```</t>
  </si>
  <si>
    <t>```dataview
table Total as Rating, Summary, Personal, Career
from #reviews/quarterly AND [[&lt;%tp.file.title%&gt;]]
sort file.name desc
```</t>
  </si>
  <si>
    <t>```
{"kanban-plugin":"basic"}
```</t>
  </si>
  <si>
    <t>```dataview
list
from [[&lt;%tp.file.title%&gt;]] and !outgoing([[&lt;%tp.file.title%&gt;]])
```</t>
  </si>
  <si>
    <t>``` tracker
searchType: task.done, task.all
searchTarget: Meditate, Meditate
folder: /dailyNotes
summary:
    template: "Meditate - {{sum(dataset(0))/sum(dataset(1))*100}}% - {{sum(dataset(0))}}/{{sum(dataset(1))}} Days Completed"
```</t>
  </si>
  <si>
    <t>``` tracker
searchType: task.done, task.notdone
searchTarget: Meditate, Meditate
folder: /dailyNotes
datasetName: Meditate, Not Meditate
month:
    color: green
    todayRingColor: white
    selectedRingColor: steelblue
    showSelectedValue: false
```</t>
  </si>
  <si>
    <t>```dataview
list
from #⚒️ and !outgoing([[⚒️ My Toolbox]]) and -"z_meta"
sort file.name asc
```</t>
  </si>
  <si>
    <t>```dataview
Table
from -"z_meta"
where length(file.inlinks) = 0 and
	  length(file.outlinks) = 0 and
	  length(file.tags) = 0 and
	  mapWithTag != True and
	  length(kindle-sync) = 0 and
	  startswith(file.name, "lov_") = False
```</t>
  </si>
  <si>
    <t>```dataview
list
from ""
where length(file.inlinks) =0 and length(file.outlinks) = 0 and length(file.tags) = 0
```</t>
  </si>
  <si>
    <t>```
This is working..........
TABLE WITHOUT ID
file.link AS "Area",
file.tags AS "File Tags"
FROM #area AND -"templates"
group by file.folder
Not working.................
sort file.folder asc
group by file.folder
```</t>
  </si>
  <si>
    <t>```dataview
TABLE WITHOUT ID
file.link,
file.tags
FROM #area AND -"z_meta"
```</t>
  </si>
  <si>
    <t>```dataview
table Created
from #note/🌱
where file.name != "🌞 My Greenhouse"
sort Created desc
```</t>
  </si>
  <si>
    <t>```dataview
table Created
from #note/🌿
where file.name != "🌞 My Greenhouse"
sort file.mtime desc
```</t>
  </si>
  <si>
    <t>```dataview
table Created
from #note/🌲
where file.name != "🌞 My Greenhouse"
sort file.mtime desc
```</t>
  </si>
  <si>
    <t>```dataview
table deadline, tags
FROM #⚡ AND -"templates" AND -"fileClass" 
```</t>
  </si>
  <si>
    <t>```button
name Create Brainstorm
type command
action QuickAdd: 💡 Create Brainstorm Note
```</t>
  </si>
  <si>
    <t>```dataview
table Created
FROM #💡/🟥
where file.name != "💡 My Brainstorms"
sort file.mtime desc
```</t>
  </si>
  <si>
    <t>```dataview
table Created
FROM #💡/🟨
WHERE file.name != "💡 My Brainstorms"
sort file.mtime desc
```</t>
  </si>
  <si>
    <t>```dataview
table Created
FROM #💡/🟩
WHERE file.name != "💡 My Brainstorms"
sort file.mtime desc
```</t>
  </si>
  <si>
    <t>```dataview
table Created
from #thoughts/memories
where file.name != "💭 My Thoughts"
sort Created desc
```</t>
  </si>
  <si>
    <t>```dataview
table Created
from #thoughts/reflections
where file.name != "💭 My Thoughts"
sort Created desc
```</t>
  </si>
  <si>
    <t>```dataview
table Created
from #thoughts/musings
where file.name != "💭 My Thoughts"
sort Created desc
```</t>
  </si>
  <si>
    <t>```dataview
list
from #thoughts/
where file.name != "= Thoughts"
sort Created desc
```</t>
  </si>
  <si>
    <t>```dataview
table Created
from "4-Archives"
WHERE file.name != "My Archives"
sort file.mtime desc
```</t>
  </si>
  <si>
    <t>```button
name Create Periodic Note
type command
action QuickAdd: 📆 Create Periodic Note
```</t>
  </si>
  <si>
    <t>```dataview
table Total as ⭐, Sentence, Personal, Career
from #reviews/weekly AND -"z_meta"
sort file.name desc
```</t>
  </si>
  <si>
    <t>```dataview
table Total as ⭐, Summary, Personal, Career
from #reviews/monthly AND -"z_meta"
sort file.name desc
```</t>
  </si>
  <si>
    <t>```dataview
table Total as ⭐, Summary, Personal, Career
from #reviews/quarterly AND -"z_meta"
sort file.name desc
```</t>
  </si>
  <si>
    <t>```dataview
table Total as ⭐, Summary, Personal, Career
from #reviews/yearly AND -"z_meta"
sort file.name desc
```</t>
  </si>
  <si>
    <t>```
{"kanban-plugin":null}
```</t>
  </si>
  <si>
    <t>```
{"kanban-plugin":"basic","tag-colors":[]}
```</t>
  </si>
  <si>
    <t>```
{"kanban-plugin":"board","lane-width":400,"show-checkboxes":true,"tag-colors":[]}
```</t>
  </si>
  <si>
    <t>```
{"kanban-plugin":"board"}
```</t>
  </si>
  <si>
    <t>```dataview
table started, finished, rating
FROM #📥/🟥 and #i/book
SORT started desc
```</t>
  </si>
  <si>
    <t>```dataview
table started, finished, rating
FROM #📥/🟧 and #i/book
SORT started desc
```</t>
  </si>
  <si>
    <t>```dataview
table started, finished, rating
FROM #📥/🟨 and #i/book
SORT started desc
```</t>
  </si>
  <si>
    <t>```dataview
table started, finished, rating
FROM #📥/🟩 and #i/book
SORT started desc
```</t>
  </si>
  <si>
    <t>```dataview
table started, finished, rating
FROM #📥/⬛ and ![[) Courses]] and ![[' Classes]]
SORT started desc
```</t>
  </si>
  <si>
    <t>```
status: note/🌱
tags:
  - obsidian
  - ⚒️
  - study
  - noteTaking
Links:
  - "[[🗺️ Note Taking MOC]]"
started: 2022-11-20
finished: 2022-11-20
rating: 9.0
author: "[[Eleanor Konik]]"
project: "[[⚡ Learning Obsidian Project]]"
Resource: "[[🦋 Brain2]]"
source: "[https://www.obsidianroundup.org/the-konik-method-for-making-notes/](https://www.obsidianroundup.org/the-konik-method-for-making-notes/)"
```</t>
  </si>
  <si>
    <t>```button
name Add Input
type command
action QuickAdd: 📥 Add General Input
```</t>
  </si>
  <si>
    <t>```dataview
table started, rating, source
FROM #📥/ AND -"z_meta" AND !"fileClass"
SORT started desc
```</t>
  </si>
  <si>
    <t>```dataview
table started, rating, source
FROM #📥/🟥 AND -"z_meta" AND !"fileClass"
SORT started desc
```</t>
  </si>
  <si>
    <t>```dataview
table started, rating, source
FROM #📥/🟧 AND -"z_meta" AND !"fileClass"
SORT started desc
```</t>
  </si>
  <si>
    <t>```dataview
table started, rating, source
FROM #📥/🟨 AND -"z_meta" AND !"fileClass"
SORT started desc
```</t>
  </si>
  <si>
    <t>```dataview
table started, finished, rating, source
FROM #📥/🟩 AND -"z_meta" AND !"fileClass"
SORT started desc
```</t>
  </si>
  <si>
    <t>```dataview
list from [[🗺️ Cooking MOC]] AND !outgoing([[🗺️ Cooking MOC]]) AND !#i and !#thoughts
```</t>
  </si>
  <si>
    <t>```dataview
table Tags as Type, Links, Created
from [[🗺️ Cooking MOC]] AND #i AND -"z_meta"
sort Tags desc
```</t>
  </si>
  <si>
    <t>```dataview
table Created
from [[🗺️ Cooking MOC]] AND #thoughts
sort file.mtime desc
```</t>
  </si>
  <si>
    <t>```dataview
list from [[🗺️  My MOCs]] AND !outgoing([[🗺️  My MOCs]]) AND !#i and !#thoughts AND -"/templates"
```</t>
  </si>
  <si>
    <t>```dataview
table Tags as Type, Links, Created
from #🗺️ AND -"z_meta"
sort Tags desc
```</t>
  </si>
  <si>
    <t>```dataview
table Created
from [[🗺️  My MOCs]] AND #thoughts
sort file.mtime desc
```</t>
  </si>
  <si>
    <t>```dataview
list from [[Note Taking MOC]] AND !outgoing([[Note Taking MOC]]) AND !#i and !#thoughts
```</t>
  </si>
  <si>
    <t>```dataview
table Tags as Type, Links, Created
from [[Note Taking MOC]] AND #i
sort Tags desc
```</t>
  </si>
  <si>
    <t>```dataview
table Created
from [[Note Taking MOC]] AND #thoughts
sort file.mtime desc
```</t>
  </si>
  <si>
    <t>```dataview
list from [[Obsidian MOC]] AND !outgoing([[Obsidian MOC]]) AND !#i and !#thoughts
```</t>
  </si>
  <si>
    <t>```dataview
table Tags as Type, Links, Created
from [[Obsidian MOC]] AND #i
sort Tags desc
```</t>
  </si>
  <si>
    <t>```dataview
table Created
from [[Obsidian MOC]] AND #thoughts
sort file.mtime desc
```</t>
  </si>
  <si>
    <t>```dataview
list from [[Project Management MOC]] AND !outgoing([[Project Management MOC]]) AND !#i and !#thoughts
```</t>
  </si>
  <si>
    <t>```dataview
table Tags as Type, Links, Created
from [[Project Management MOC]] AND #i
sort Tags desc
```</t>
  </si>
  <si>
    <t>```dataview
table Created
from [[Project Management MOC]] AND #thoughts
sort file.mtime desc
```</t>
  </si>
  <si>
    <t>```dataview
list from [[🗺️ Recipes MOC]] AND !outgoing([[🗺️ Recipes MOC]]) AND !#i and !#videos
```</t>
  </si>
  <si>
    <t>```dataview
table Tags as Type, Links, Created
from [[🗺️ Recipes MOC]] AND #i and -"z_meta"
sort Tags desc
```</t>
  </si>
  <si>
    <t>```dataview
table Created
from [[🗺️ Recipes MOC]] AND #thoughts
sort file.mtime desc
```</t>
  </si>
  <si>
    <t>```dataview
list from [[🗺️ Videos MOC]] AND !outgoing([[🗺️ Videos MOC]]) AND !#i and !#thoughts
```</t>
  </si>
  <si>
    <t>```dataview
table Created
from [[🗺️ Videos MOC]] AND #thoughts
sort file.mtime desc
```</t>
  </si>
  <si>
    <t>These are markdown files with frontmatter that may need to be reviewed.</t>
  </si>
  <si>
    <t>Total Files:</t>
  </si>
  <si>
    <t>Invalid Properties</t>
  </si>
  <si>
    <t>No Properties</t>
  </si>
  <si>
    <t>Frontmatter loaded, but empty</t>
  </si>
  <si>
    <t>Frontmatter error</t>
  </si>
  <si>
    <t>Likely Issue</t>
  </si>
  <si>
    <t>Frontmatter formatting error</t>
  </si>
  <si>
    <t xml:space="preserve">This system was intentionally designed to be "generous" when it comes to identifying </t>
  </si>
  <si>
    <t>what might be an error. Our purpose is only to bring issues to ones attention that</t>
  </si>
  <si>
    <t>may, (or may not) require further investigation.</t>
  </si>
  <si>
    <t>Corrupt, meaning the Python package PyYAML 6.0.2 is unable to perform a "safe_load" of</t>
  </si>
  <si>
    <t xml:space="preserve">the notes frontmatter, or the YAML is otherwise problematic. These may or may not be </t>
  </si>
  <si>
    <t>indicative of an error, depending on how you setup and use your vault.</t>
  </si>
  <si>
    <t>Duplicate Files in Vault</t>
  </si>
  <si>
    <t>Duplicates here are defined as vault files that have identical filenames,</t>
  </si>
  <si>
    <t>but exist in different folders.</t>
  </si>
  <si>
    <t>Duplicate Notes</t>
  </si>
  <si>
    <t>Dups Found</t>
  </si>
  <si>
    <t>Full Pathnames01</t>
  </si>
  <si>
    <t>Full Pathnames02</t>
  </si>
  <si>
    <t>Full Pathnames03</t>
  </si>
  <si>
    <t>Full Pathnames04</t>
  </si>
  <si>
    <t>Full Pathnames</t>
  </si>
  <si>
    <t>Duplicate markdown filenames are allowed in Obsidian, but should be avoided as they can</t>
  </si>
  <si>
    <t>be a source of confusion. They also require fully qualified pathnames, instead of just</t>
  </si>
  <si>
    <t>the filename, when attempting to create links. The URLs provided use such pathnames.</t>
  </si>
  <si>
    <t>Nested Dictionary Properties Analysis</t>
  </si>
  <si>
    <t>This is only a Proof-Of-Concept at this time. It may be</t>
  </si>
  <si>
    <t>useful, for some debugging, but I wouldn't spend a lot</t>
  </si>
  <si>
    <t>Plug-in</t>
  </si>
  <si>
    <t>Filename</t>
  </si>
  <si>
    <t>All Values ('|' separator)</t>
  </si>
  <si>
    <t>kindle-sync</t>
  </si>
  <si>
    <t xml:space="preserve">                -- Proof-Of-Concept -- </t>
  </si>
  <si>
    <t>The data here is from markdown files in your vault that</t>
  </si>
  <si>
    <t>contain Nested Properties in their YAML. This is something</t>
  </si>
  <si>
    <t xml:space="preserve">Obsidian does not support, natively. So, when I hit one, </t>
  </si>
  <si>
    <t>I thought they s/b included in this report for documentation</t>
  </si>
  <si>
    <t>purposes. These are files created by Community Plugins and</t>
  </si>
  <si>
    <t>they almost certainly do not require any action on your part.</t>
  </si>
  <si>
    <t>I wish I could be one of those people who can just use a spoon</t>
  </si>
  <si>
    <t>without having to stop and figure out how it works.</t>
  </si>
  <si>
    <t>DO NOT ATTEMPT TO EDIT THESE FILES UNLESS YOU REALLY KNOW</t>
  </si>
  <si>
    <t>WHAT YOU'RE DOING! I certainly don't know what I'm doing,</t>
  </si>
  <si>
    <t>so don't be looking down the table at me on this one!</t>
  </si>
  <si>
    <t>list-plus</t>
  </si>
  <si>
    <t>insert__presetField__keywords</t>
  </si>
  <si>
    <t>Insert keywords field</t>
  </si>
  <si>
    <t>JGrHWg | ZoYT5s | 6P4xET | DhLiFU | oBLLX0 | yRIi0U | YrKkWD | l0IvzD | qoF3ck | w1F7ZS | WoPnCN | 4GD3jK | 7pg2LV</t>
  </si>
  <si>
    <t>Rating | started | finished | author | source | keywords | id | title | url | channel | duration | thumbnail | published</t>
  </si>
  <si>
    <t>ValuesList | ValuesList</t>
  </si>
  <si>
    <t>#⭐</t>
  </si>
  <si>
    <t>#⭐⭐</t>
  </si>
  <si>
    <t>#⭐⭐⭐</t>
  </si>
  <si>
    <t>#⭐⭐⭐⭐</t>
  </si>
  <si>
    <t>(-None-) | (-None-) | (-None-) | (-None-) | (-None-) | (-None-) | (-None-) | (-None-) | (-None-) | (-None-) | (-None-) | (-None-) | (-None-)</t>
  </si>
  <si>
    <t>Select | Date | Date | Input | Input | Cycle | Input | Input | Input | Input | Input | Input | Date</t>
  </si>
  <si>
    <t>4GD3jK | WoPnCN | w1F7ZS | qoF3ck | l0IvzD | YrKkWD | yRIi0U | oBLLX0 | DhLiFU | 6P4xET | ZoYT5s | JGrHWg | owkM6J</t>
  </si>
  <si>
    <t>7D91xU | dP5gb0 | ADpamK | ooiGeP | y3lFnd | AP39NJ | HDiGHz | OFVjIU | 1iDDLb</t>
  </si>
  <si>
    <t>Tags | rating | started | finished | author | source | keywords | id | Title</t>
  </si>
  <si>
    <t>YYYY-MM-DD</t>
  </si>
  <si>
    <t>false</t>
  </si>
  <si>
    <t>#i/article | #⭐</t>
  </si>
  <si>
    <t>#i/tweet | #⭐⭐</t>
  </si>
  <si>
    <t>#i/podcast | #⭐⭐⭐</t>
  </si>
  <si>
    <t>#i/video | #⭐⭐⭐⭐</t>
  </si>
  <si>
    <t>(-None-) | (-None-) | (-None-) | (-None-) | (-None-) | (-None-) | (-None-) | (-None-) | (-None-)</t>
  </si>
  <si>
    <t>Select | Select | Date | Date | Input | Input | Cycle | Input | Input</t>
  </si>
  <si>
    <t>VDYyq3 | tCmWy0 | 4Vv29H | Bkmv95 | DDzMQm | 0jxMq1 | xTj7hi | z29MEs | RFvcoo | 7atvRP | roMfuT | 1asDin | wZRfvj | wF9EF9 | yF6uuo | m61K8C | ZjoLDC | l5HKn0 | gHBE7a | CRvpSO | UuakMc | KEoT7l | k7c7JF | Suf8ty | qSt4B9 | AaCybQ | okkyVd | oGfmEY | OHgNZt</t>
  </si>
  <si>
    <t>p_busName | p_homeAddr | p_uidX | p_uidLI | p_uidIG | p_uidFB | p_uidFreqs | p_contactEmail | p_contactSMS | p_contactPhone | p_Interests | p_Hotbuttons | p_Ethnicity | p_HangsWith | p_Desc | p_NameKnownAs | p_MaritalStatus | p_Partner | p_NameLast | p_NameMiddle | p_NameLastInitial | p_NameFirst | p_NameFull | p_Pic | p_Type | p_Gender | p_Politics | p_DOS | p_DOB</t>
  </si>
  <si>
    <t>1 day</t>
  </si>
  <si>
    <t>Peeps/_idPhotos</t>
  </si>
  <si>
    <t>ValuesList | ValuesListNotePath</t>
  </si>
  <si>
    <t>lov_Politics.md</t>
  </si>
  <si>
    <t>(-None-) | (-None-) | (-None-) | (-None-) | (-None-) | (-None-) | (-None-) | (-None-) | (-None-) | (-None-) | (-None-) | (-None-) | (-None-) | (-None-) | (-None-) | (-None-) | (-None-) | (-None-) | (-None-) | (-None-) | (-None-) | (-None-) | (-None-) | (-None-) | (-None-) | (-None-) | (-None-) | (-None-) | (-None-)</t>
  </si>
  <si>
    <t>Input | Input | Input | Input | Input | Input | Input | Input | Input | Input | Input | Input | Input | Input | Input | Input | Input | Input | Input | Input | Input | Input | Input | Media | Multi | Select | Multi | Date | Date</t>
  </si>
  <si>
    <t>m61K8C | OHgNZt | oGfmEY | okkyVd | qSt4B9 | yF6uuo | 7atvRP | z29MEs | 0jxMq1 | tCmWy0 | gHBE7a | k7c7JF | CRvpSO | UuakMc | KEoT7l | AaCybQ | ZjoLDC | l5HKn0 | wF9EF9 | wZRfvj | 1asDin | roMfuT | RFvcoo | xTj7hi | DDzMQm | Bkmv95 | 4Vv29H | VDYyq3 | yqBdys</t>
  </si>
  <si>
    <t>False | False | False | False | False | False | False | False | False | False | False | False | False | False | False | False | False | False | False | False | False | False | False | False | False | False | False | False | False | False | False | False</t>
  </si>
  <si>
    <t>peeps____p_Pic | peeps____p_NameKnownAs | peeps____p_DOB | peeps____p_DOS | peeps____p_Politics | peeps____p_Type | peeps____p_Desc | peeps____p_contactPhone | peeps____p_contactEmail | peeps____p_uidFB | peeps____p_Partner | peeps____p_homeAddr | peeps____p_NameLast | peeps____p_NameFull | peeps____p_NameMiddle | peeps____p_NameLastInitial | peeps____p_NameFirst | peeps____p_Gender | peeps____p_MaritalStatus | peeps____p_HangsWith | peeps____p_Ethnicity | peeps____p_Hotbuttons | peeps____p_Interests | peeps____p_contactSMS | peeps____p_uidFreqs | peeps____p_uidIG | peeps____p_uidLI | peeps____p_uidX | peeps____p_busName | peeps____p_busEmail | peeps____p_edSchoolname | peeps____p_edMajor</t>
  </si>
  <si>
    <t>p_Pic | p_NameKnownAs | p_DOB | p_DOS | p_Politics | p_Type | p_Desc | p_contactPhone | p_contactEmail | p_uidFB | p_Partner | p_homeAddr | p_NameLast | p_NameFull | p_NameMiddle | p_NameLastInitial | p_NameFirst | p_Gender | p_MaritalStatus | p_HangsWith | p_Ethnicity | p_Hotbuttons | p_Interests | p_contactSMS | p_uidFreqs | p_uidIG | p_uidLI | p_uidX | p_busName | p_busEmail | p_edSchoolname | p_edMajor</t>
  </si>
  <si>
    <t>1 | 2 | 3 | 4 | 5 | 6 | 7 | 8 | 9 | 10 | 11 | 12 | 13 | 14 | 15 | 16 | 17 | 18 | 19 | 20 | 21 | 22 | 23 | 24 | 25 | 26 | 27 | 28 | 29 | 30 | 31 | 32</t>
  </si>
  <si>
    <t>(-None-) | (-None-) | (-None-) | (-None-) | (-None-) | (-None-) | (-None-) | (-None-) | (-None-) | (-None-) | (-None-) | (-None-) | (-None-) | (-None-) | (-None-) | (-None-) | (-None-) | (-None-) | (-None-) | (-None-) | (-None-) | (-None-) | (-None-) | (-None-) | (-None-) | (-None-) | (-None-) | (-None-) | (-None-) | (-None-) | (-None-) | (-None-)</t>
  </si>
  <si>
    <t>tdhh5f | kZC0hF | VtFhe8 | UwlgO8 | 9fPP20 | W0NZX5 | oE9ASH | NzYqCw | kw3vDf</t>
  </si>
  <si>
    <t>bioLiving | bioNameFirst | bioNameLast | bioNameMaiden | bioDesc | bioGender | bioMaritalStatus | bioLGBTQPlus | bioSunSign</t>
  </si>
  <si>
    <t>ValuesList | ValuesList | ValuesList | ValuesListNotePath</t>
  </si>
  <si>
    <t>Single | Gay/Lesbian/Bi</t>
  </si>
  <si>
    <t>Female | Married | Trans</t>
  </si>
  <si>
    <t>Divorced | Unknown</t>
  </si>
  <si>
    <t>Widowed | (-None-)</t>
  </si>
  <si>
    <t>It's Complicated</t>
  </si>
  <si>
    <t>Living with someone</t>
  </si>
  <si>
    <t>lov_SunSigns.md</t>
  </si>
  <si>
    <t>Boolean | Input | Input | Input | Input | Select | Select | Select | Select</t>
  </si>
  <si>
    <t>NzYqCw | oE9ASH | W0NZX5 | 9fPP20 | UwlgO8 | VtFhe8 | kZC0hF | tdhh5f | y1KYUv</t>
  </si>
  <si>
    <t>Installed Plugins</t>
  </si>
  <si>
    <t>These are the plugins that exist in the Vault Plugins directory</t>
  </si>
  <si>
    <t>They may or may not be enabled, they are just listed here for</t>
  </si>
  <si>
    <t>your information.</t>
  </si>
  <si>
    <t>Plugin Id</t>
  </si>
  <si>
    <t>Name</t>
  </si>
  <si>
    <t>Version</t>
  </si>
  <si>
    <t>Min App Version</t>
  </si>
  <si>
    <t>Authors Url</t>
  </si>
  <si>
    <t>isDesktopOnly</t>
  </si>
  <si>
    <t>Description</t>
  </si>
  <si>
    <t>Plugin Codeblock Signatures</t>
  </si>
  <si>
    <t>buttons</t>
  </si>
  <si>
    <t>0.5.1</t>
  </si>
  <si>
    <t>0.12.8</t>
  </si>
  <si>
    <t>shabegom</t>
  </si>
  <si>
    <t>Create Buttons in your Obsidian notes to run commands, open links, and insert templates</t>
  </si>
  <si>
    <t>button</t>
  </si>
  <si>
    <t>Calendar</t>
  </si>
  <si>
    <t>1.5.10</t>
  </si>
  <si>
    <t>0.9.11</t>
  </si>
  <si>
    <t>Liam Cain</t>
  </si>
  <si>
    <t>Calendar view of your daily notes</t>
  </si>
  <si>
    <t>callout-manager</t>
  </si>
  <si>
    <t>Callout Manager</t>
  </si>
  <si>
    <t>1.1.0</t>
  </si>
  <si>
    <t>1.0.0</t>
  </si>
  <si>
    <t>eth-p</t>
  </si>
  <si>
    <t>Easily create and customize callouts.</t>
  </si>
  <si>
    <t>cmdr</t>
  </si>
  <si>
    <t>Commander</t>
  </si>
  <si>
    <t>0.5.2</t>
  </si>
  <si>
    <t>1.4.0</t>
  </si>
  <si>
    <t>jsmorabito &amp; phibr0</t>
  </si>
  <si>
    <t>Customize your workspace by adding commands everywhere, create Macros and supercharge your mobile toolbar.</t>
  </si>
  <si>
    <t>darlal-switcher-plus</t>
  </si>
  <si>
    <t>Quick Switcher++</t>
  </si>
  <si>
    <t>4.6.3</t>
  </si>
  <si>
    <t>1.7.7</t>
  </si>
  <si>
    <t>darlal</t>
  </si>
  <si>
    <t>Enhanced Quick Switcher, search open panels, and symbols.</t>
  </si>
  <si>
    <t>0.5.67</t>
  </si>
  <si>
    <t>0.13.11</t>
  </si>
  <si>
    <t>Michael Brenan &lt;blacksmithgu@gmail.com&gt;</t>
  </si>
  <si>
    <t>Complex data views for the data-obsessed.</t>
  </si>
  <si>
    <t>dataview | dataviewjs</t>
  </si>
  <si>
    <t>definition-list</t>
  </si>
  <si>
    <t>Definition List</t>
  </si>
  <si>
    <t>0.2.2</t>
  </si>
  <si>
    <t>1.6.0</t>
  </si>
  <si>
    <t>shammond42</t>
  </si>
  <si>
    <t>Adds definition lists to the markdown parser.</t>
  </si>
  <si>
    <t>etymology-lookup</t>
  </si>
  <si>
    <t>Etymology Lookup</t>
  </si>
  <si>
    <t>1.0.4</t>
  </si>
  <si>
    <t>0.15.0</t>
  </si>
  <si>
    <t>Claire Froelich</t>
  </si>
  <si>
    <t>Get the etymology of words in your notes</t>
  </si>
  <si>
    <t>folder-note-plugin</t>
  </si>
  <si>
    <t>0.7.3</t>
  </si>
  <si>
    <t>0.9.12</t>
  </si>
  <si>
    <t>xpgo</t>
  </si>
  <si>
    <t>Click a folder node to show a note describing the folder.</t>
  </si>
  <si>
    <t>ccard</t>
  </si>
  <si>
    <t>google-calendar</t>
  </si>
  <si>
    <t>1.10.15</t>
  </si>
  <si>
    <t>0.12.0</t>
  </si>
  <si>
    <t>YukiGasai</t>
  </si>
  <si>
    <t>Interact with your Google Calendar from Inside Obsidian</t>
  </si>
  <si>
    <t>gevent</t>
  </si>
  <si>
    <t>image-captions</t>
  </si>
  <si>
    <t>Image Captions</t>
  </si>
  <si>
    <t>1.1.5</t>
  </si>
  <si>
    <t>Alan Grainger</t>
  </si>
  <si>
    <t>Adds captions to images when there is alt-text specified</t>
  </si>
  <si>
    <t>leader-hotkeys-obsidian</t>
  </si>
  <si>
    <t>Leader Hotkeys</t>
  </si>
  <si>
    <t>0.2.1</t>
  </si>
  <si>
    <t>Add leader hotkey support to any command (like tmux or vim)</t>
  </si>
  <si>
    <t>link-favicon</t>
  </si>
  <si>
    <t>Link Favicons</t>
  </si>
  <si>
    <t>1.8.4</t>
  </si>
  <si>
    <t>1.3.0</t>
  </si>
  <si>
    <t>Johannes Theiner</t>
  </si>
  <si>
    <t xml:space="preserve">See the favicon for a linked website. </t>
  </si>
  <si>
    <t>local-backup</t>
  </si>
  <si>
    <t>Local Backup</t>
  </si>
  <si>
    <t>0.1.8</t>
  </si>
  <si>
    <t>GC Chen</t>
  </si>
  <si>
    <t>Automatically creates a local backup of the vault.</t>
  </si>
  <si>
    <t>media-extended</t>
  </si>
  <si>
    <t>Media Extended</t>
  </si>
  <si>
    <t>3.2.6</t>
  </si>
  <si>
    <t>1.5.7</t>
  </si>
  <si>
    <t>AidenLx</t>
  </si>
  <si>
    <t>Media(Video/Audio) Playback Enhancement for Obsidian.md</t>
  </si>
  <si>
    <t>mermaid-tools</t>
  </si>
  <si>
    <t>1.2.0</t>
  </si>
  <si>
    <t>dartungar</t>
  </si>
  <si>
    <t>Improved Mermaid.js experience for Obsidian: visual toolbar with common elements &amp; more</t>
  </si>
  <si>
    <t>mermaid</t>
  </si>
  <si>
    <t>metadata-menu</t>
  </si>
  <si>
    <t>Metadata Menu</t>
  </si>
  <si>
    <t>0.8.7</t>
  </si>
  <si>
    <t>1.4.16</t>
  </si>
  <si>
    <t>mdelobelle</t>
  </si>
  <si>
    <t>For data quality enthusiasts (and dataview users): manage the metadata of your notes.</t>
  </si>
  <si>
    <t>metaedit</t>
  </si>
  <si>
    <t>MetaEdit</t>
  </si>
  <si>
    <t>1.8.2</t>
  </si>
  <si>
    <t>1.4.1</t>
  </si>
  <si>
    <t>Christian B. B. Houmann</t>
  </si>
  <si>
    <t>MetaEdit helps you manage your metadata.</t>
  </si>
  <si>
    <t>modalforms</t>
  </si>
  <si>
    <t>Modal forms</t>
  </si>
  <si>
    <t>1.60.2</t>
  </si>
  <si>
    <t>Danielo Rodriguez</t>
  </si>
  <si>
    <t>Define forms for filling data that you will be able to open from anywhere you can run JS</t>
  </si>
  <si>
    <t>multi-properties</t>
  </si>
  <si>
    <t>Multi Properties</t>
  </si>
  <si>
    <t>1.4.13</t>
  </si>
  <si>
    <t>technohiker</t>
  </si>
  <si>
    <t>Adds Properties to multiple notes at once.  Either right-click a folder, or select multiple notes and right-click the selection.</t>
  </si>
  <si>
    <t>obsidian-advanced-uri</t>
  </si>
  <si>
    <t>Advanced URI</t>
  </si>
  <si>
    <t>1.44.3</t>
  </si>
  <si>
    <t>Vinzent</t>
  </si>
  <si>
    <t>Advanced modes for Obsidian URI</t>
  </si>
  <si>
    <t>obsidian-auto-link-title</t>
  </si>
  <si>
    <t>Auto Link Title</t>
  </si>
  <si>
    <t>1.5.5</t>
  </si>
  <si>
    <t>0.12.17</t>
  </si>
  <si>
    <t>Matt Furden</t>
  </si>
  <si>
    <t>This plugin automatically fetches the titles of links from the web</t>
  </si>
  <si>
    <t>obsidian-contextual-typography</t>
  </si>
  <si>
    <t>Contextual Typography</t>
  </si>
  <si>
    <t>2.2.5</t>
  </si>
  <si>
    <t>0.9.22</t>
  </si>
  <si>
    <t>mgmeyers</t>
  </si>
  <si>
    <t>This plugin adds a data-tag-name attribute to all top-level divs in preview mode containing the child's tag name, allowing contextual typography styling.</t>
  </si>
  <si>
    <t>obsidian-copy-block-link</t>
  </si>
  <si>
    <t>Copy Block Link</t>
  </si>
  <si>
    <t>0.12.12</t>
  </si>
  <si>
    <t>Get links to blocks and headings from Obsidian's right click menu</t>
  </si>
  <si>
    <t>obsidian-emoji-toolbar</t>
  </si>
  <si>
    <t>Emoji Toolbar</t>
  </si>
  <si>
    <t>0.4.1</t>
  </si>
  <si>
    <t>oliveryh</t>
  </si>
  <si>
    <t>Quickly search for and insert emojis into your notes.</t>
  </si>
  <si>
    <t>obsidian-footnotes</t>
  </si>
  <si>
    <t>Footnote Shortcut</t>
  </si>
  <si>
    <t>0.1.3</t>
  </si>
  <si>
    <t>Alexis Rondeau, Micha Brugger, Jason Qin</t>
  </si>
  <si>
    <t>Insert and write footnotes faster</t>
  </si>
  <si>
    <t>obsidian-fullscreen-plugin</t>
  </si>
  <si>
    <t>Fullscreen mode plugin</t>
  </si>
  <si>
    <t>0.1.2</t>
  </si>
  <si>
    <t>Razum</t>
  </si>
  <si>
    <t>This plugin allows viewing a single document in fullscreen focus mode</t>
  </si>
  <si>
    <t>obsidian-hotkeys-for-specific-files</t>
  </si>
  <si>
    <t>Hotkeys for specific files</t>
  </si>
  <si>
    <t>Set hotkeys for specific files and open them just with your keyboard.</t>
  </si>
  <si>
    <t>obsidian-hover-editor</t>
  </si>
  <si>
    <t>Hover Editor</t>
  </si>
  <si>
    <t>0.11.24</t>
  </si>
  <si>
    <t>1.5.8</t>
  </si>
  <si>
    <t>NothingIsLost</t>
  </si>
  <si>
    <t>Transform the Page Preview hover popover into a fully working editor instance</t>
  </si>
  <si>
    <t>obsidian-icon-shortcodes</t>
  </si>
  <si>
    <t>Icon Shortcodes</t>
  </si>
  <si>
    <t>0.9.7</t>
  </si>
  <si>
    <t>Insert emoji and custom icons with shortcodes</t>
  </si>
  <si>
    <t>obsidian-importer</t>
  </si>
  <si>
    <t>Importer</t>
  </si>
  <si>
    <t>1.6.19</t>
  </si>
  <si>
    <t>Obsidian</t>
  </si>
  <si>
    <t>Import data from Notion, Evernote, Apple Notes, Microsoft OneNote, Google Keep, Bear, Roam, and HTML files.</t>
  </si>
  <si>
    <t>obsidian-kanban</t>
  </si>
  <si>
    <t>Kanban</t>
  </si>
  <si>
    <t>2.0.51</t>
  </si>
  <si>
    <t>Create markdown-backed Kanban boards in Obsidian.</t>
  </si>
  <si>
    <t>obsidian-kindle-plugin</t>
  </si>
  <si>
    <t>Kindle Highlights</t>
  </si>
  <si>
    <t>1.9.2</t>
  </si>
  <si>
    <t>0.10.2</t>
  </si>
  <si>
    <t>Hady Osman</t>
  </si>
  <si>
    <t>Sync your Kindle book highlights using your Amazon login or uploading your My Clippings file</t>
  </si>
  <si>
    <t>obsidian-leaflet-plugin</t>
  </si>
  <si>
    <t>Leaflet</t>
  </si>
  <si>
    <t>6.0.5</t>
  </si>
  <si>
    <t>Jeremy Valentine</t>
  </si>
  <si>
    <t>Interactive maps inside your notes</t>
  </si>
  <si>
    <t>obsidian-linter</t>
  </si>
  <si>
    <t>Linter</t>
  </si>
  <si>
    <t>1.28.0</t>
  </si>
  <si>
    <t>Victor Tao</t>
  </si>
  <si>
    <t>Formats and styles your notes. It can be used to format YAML tags, aliases, arrays, and metadata; footnotes; headings; spacing; math blocks; regular markdown contents like list, italics, and bold styles; and more with the use of custom rule options as well.</t>
  </si>
  <si>
    <t>obsidian-list-callouts</t>
  </si>
  <si>
    <t>List Callouts</t>
  </si>
  <si>
    <t>1.2.9</t>
  </si>
  <si>
    <t>1.1.1</t>
  </si>
  <si>
    <t>Create simple callouts in lists.</t>
  </si>
  <si>
    <t>obsidian-local-images-plus</t>
  </si>
  <si>
    <t>Local Images Plus</t>
  </si>
  <si>
    <t>0.16.2</t>
  </si>
  <si>
    <t>1.0.3</t>
  </si>
  <si>
    <t>catalysm, aleksey-rezvov, Sergei Korneev</t>
  </si>
  <si>
    <t>Local Images Plus plugin searches for all external media links in your notes, downloads and saves them locally and adjusts the links in your notes to point to the saved files.</t>
  </si>
  <si>
    <t>obsidian-meta-bind-plugin</t>
  </si>
  <si>
    <t>Meta Bind</t>
  </si>
  <si>
    <t>1.3.3</t>
  </si>
  <si>
    <t>Moritz Jung</t>
  </si>
  <si>
    <t>Make your notes interactive with inline input fields, metadata displays, and buttons.</t>
  </si>
  <si>
    <t>obsidian-minimal-settings</t>
  </si>
  <si>
    <t>Minimal Theme Settings</t>
  </si>
  <si>
    <t>8.1.1</t>
  </si>
  <si>
    <t>1.1.9</t>
  </si>
  <si>
    <t>@kepano</t>
  </si>
  <si>
    <t>Change the colors, fonts and features of Minimal Theme.</t>
  </si>
  <si>
    <t>obsidian-outliner</t>
  </si>
  <si>
    <t>Outliner</t>
  </si>
  <si>
    <t>4.8.1</t>
  </si>
  <si>
    <t>1.5.11</t>
  </si>
  <si>
    <t>Viacheslav Slinko</t>
  </si>
  <si>
    <t>Work with your lists like in Workflowy or RoamResearch.</t>
  </si>
  <si>
    <t>obsidian-plugin-toc</t>
  </si>
  <si>
    <t>Table of Contents</t>
  </si>
  <si>
    <t>0.2.0</t>
  </si>
  <si>
    <t>0.10.12</t>
  </si>
  <si>
    <t>Andrew Lisowski</t>
  </si>
  <si>
    <t>Create a table of contents for a note.</t>
  </si>
  <si>
    <t>obsidian-shellcommands</t>
  </si>
  <si>
    <t>Shell commands</t>
  </si>
  <si>
    <t>0.23.0</t>
  </si>
  <si>
    <t>Jarkko Linnanvirta</t>
  </si>
  <si>
    <t>You can predefine system commands that you want to run frequently, and assign hotkeys for them. For example open external applications. Automatic execution is also supported, and execution via URI links.</t>
  </si>
  <si>
    <t>obsidian-show-file-path</t>
  </si>
  <si>
    <t>Show Current File Path</t>
  </si>
  <si>
    <t>0.12.15</t>
  </si>
  <si>
    <t>Ravi Mashru</t>
  </si>
  <si>
    <t>Show the full path of the currently open file in the status bar</t>
  </si>
  <si>
    <t>obsidian-style-settings</t>
  </si>
  <si>
    <t>Style Settings</t>
  </si>
  <si>
    <t>1.0.9</t>
  </si>
  <si>
    <t>0.11.5</t>
  </si>
  <si>
    <t>Offers controls for adjusting theme, plugin, and snippet CSS variables.</t>
  </si>
  <si>
    <t>obsidian-table-to-csv-exporter</t>
  </si>
  <si>
    <t>Table to CSV Exporter</t>
  </si>
  <si>
    <t>0.1.4</t>
  </si>
  <si>
    <t>0.14.6</t>
  </si>
  <si>
    <t>Stefan Wolfrum</t>
  </si>
  <si>
    <t>This plugin allows for exporting tables from a pane in reading mode into CSV files.</t>
  </si>
  <si>
    <t>obsidian-tasks-plugin</t>
  </si>
  <si>
    <t>Tasks</t>
  </si>
  <si>
    <t>7.14.0</t>
  </si>
  <si>
    <t>Clare Macrae and Ilyas Landikov (created by Martin Schenck)</t>
  </si>
  <si>
    <t>Track tasks across your vault. Supports due dates, recurring tasks, done dates, sub-set of checklist items, and filtering.</t>
  </si>
  <si>
    <t>obsidian-text-format</t>
  </si>
  <si>
    <t>Text Format</t>
  </si>
  <si>
    <t>3.1.0</t>
  </si>
  <si>
    <t>Benature</t>
  </si>
  <si>
    <t>Format text such as lowercase/uppercase/capitalize/titlecase, converting order/bullet list, removing redundant spaces/newline characters.</t>
  </si>
  <si>
    <t>obsidian-tracker</t>
  </si>
  <si>
    <t>1.15.0</t>
  </si>
  <si>
    <t>pyrochlore</t>
  </si>
  <si>
    <t>A plugin tracks occurrences and numbers in your notes</t>
  </si>
  <si>
    <t>obsidian-vault-statistics-plugin</t>
  </si>
  <si>
    <t>Vault Statistics</t>
  </si>
  <si>
    <t>0.11.0</t>
  </si>
  <si>
    <t>Bryan Kyle</t>
  </si>
  <si>
    <t>Status bar item with vault statistics such as number of notes, files, attachments, and links.</t>
  </si>
  <si>
    <t>obsidian-wordy</t>
  </si>
  <si>
    <t>Wordy</t>
  </si>
  <si>
    <t>1.3.1</t>
  </si>
  <si>
    <t>Nate</t>
  </si>
  <si>
    <t>Thesaurus, rhymes, alliterations, dictionary and more using the Datamuse API</t>
  </si>
  <si>
    <t>obsidian42-brat</t>
  </si>
  <si>
    <t>BRAT</t>
  </si>
  <si>
    <t>1.0.6</t>
  </si>
  <si>
    <t>1.7.2</t>
  </si>
  <si>
    <t>TfTHacker</t>
  </si>
  <si>
    <t>Easily install a beta version of a plugin for testing.</t>
  </si>
  <si>
    <t>open-vscode</t>
  </si>
  <si>
    <t>Open vault in VSCode</t>
  </si>
  <si>
    <t>NomarCub</t>
  </si>
  <si>
    <t>Ribbon button, command and file explorer context menu to open the vault as a Visual Studio Code (VSCode) workspace</t>
  </si>
  <si>
    <t>pane-relief</t>
  </si>
  <si>
    <t>Pane Relief</t>
  </si>
  <si>
    <t>0.5.7</t>
  </si>
  <si>
    <t>PJ Eby</t>
  </si>
  <si>
    <t>Per-tab history, hotkeys for pane/tab movement, navigation, sliding workspace, and more</t>
  </si>
  <si>
    <t>quickadd</t>
  </si>
  <si>
    <t>QuickAdd</t>
  </si>
  <si>
    <t>1.11.5</t>
  </si>
  <si>
    <t>Quickly add new pages or content to your vault.</t>
  </si>
  <si>
    <t>recent-files-obsidian</t>
  </si>
  <si>
    <t>Recent Files</t>
  </si>
  <si>
    <t>1.7.4</t>
  </si>
  <si>
    <t>0.16.3</t>
  </si>
  <si>
    <t>Tony Grosinger</t>
  </si>
  <si>
    <t>List files by most recently opened</t>
  </si>
  <si>
    <t>settings-search</t>
  </si>
  <si>
    <t>Settings Search</t>
  </si>
  <si>
    <t>1.3.10</t>
  </si>
  <si>
    <t>Globally search settings in Obsidian.md</t>
  </si>
  <si>
    <t>sliding-panes-obsidian</t>
  </si>
  <si>
    <t>Sliding Panes (Andy's Mode)</t>
  </si>
  <si>
    <t>3.4.0</t>
  </si>
  <si>
    <t>0.16.0</t>
  </si>
  <si>
    <t>death_au</t>
  </si>
  <si>
    <t>Sliding Panes! Based on the style of [Andy Matuschak's Notes](https://notes.andymatuschak.org/)</t>
  </si>
  <si>
    <t>smart-random-note</t>
  </si>
  <si>
    <t>Smart Random Note</t>
  </si>
  <si>
    <t>0.9.18</t>
  </si>
  <si>
    <t>Eric Hall</t>
  </si>
  <si>
    <t>A smart random note plugin</t>
  </si>
  <si>
    <t>table-editor-obsidian</t>
  </si>
  <si>
    <t>Advanced Tables</t>
  </si>
  <si>
    <t>0.22.1</t>
  </si>
  <si>
    <t>Improved table navigation, formatting, manipulation, and formulas</t>
  </si>
  <si>
    <t>tag-word-cloud</t>
  </si>
  <si>
    <t>Tag &amp; Word Cloud</t>
  </si>
  <si>
    <t>Show a cloud of your tags/words in a note</t>
  </si>
  <si>
    <t>tag-wrangler</t>
  </si>
  <si>
    <t>Tag Wrangler</t>
  </si>
  <si>
    <t>0.6.1</t>
  </si>
  <si>
    <t>1.2.8</t>
  </si>
  <si>
    <t>Rename, merge, toggle, and search tags from the tag pane</t>
  </si>
  <si>
    <t>templater-obsidian</t>
  </si>
  <si>
    <t>Templater</t>
  </si>
  <si>
    <t>2.9.2</t>
  </si>
  <si>
    <t>1.5.0</t>
  </si>
  <si>
    <t>SilentVoid</t>
  </si>
  <si>
    <t>Create and use templates</t>
  </si>
  <si>
    <t>todoist-sync-plugin</t>
  </si>
  <si>
    <t>2.0.1</t>
  </si>
  <si>
    <t>Jamie Brynes</t>
  </si>
  <si>
    <t>Materialize Todoist tasks within Obsidian notes.</t>
  </si>
  <si>
    <t>todoist</t>
  </si>
  <si>
    <t>url-into-selection</t>
  </si>
  <si>
    <t>Paste URL into selection</t>
  </si>
  <si>
    <t>1.7.0</t>
  </si>
  <si>
    <t>Paste URL "into" selected text.</t>
  </si>
  <si>
    <t>youtube-summarizer</t>
  </si>
  <si>
    <t>Youtube Summarizer</t>
  </si>
  <si>
    <t>1.0.2</t>
  </si>
  <si>
    <t>Mehmet Ozdemir</t>
  </si>
  <si>
    <t>A plugin to summarize the transcripts of Youtube videos.</t>
  </si>
  <si>
    <t>ytranscript</t>
  </si>
  <si>
    <t>YTranscript</t>
  </si>
  <si>
    <t>Łukasz Strzępek</t>
  </si>
  <si>
    <t>This is simple plugin to fetch transcription for Youtube.</t>
  </si>
  <si>
    <t>85 total inline</t>
  </si>
  <si>
    <t>UNIQUE(FILTER(tbl_file[Inline?],tbl_file[IsVisible]))</t>
  </si>
  <si>
    <t>Templates Processed</t>
  </si>
  <si>
    <t>Known Nested Tags Files Found</t>
  </si>
  <si>
    <t>upd_obs_nests</t>
  </si>
  <si>
    <t>upd_obs_props</t>
  </si>
  <si>
    <t>upd_obs_files</t>
  </si>
  <si>
    <t>Frontmatter YAML Files</t>
  </si>
  <si>
    <t>Inline YAML Files</t>
  </si>
  <si>
    <t>ctot</t>
  </si>
  <si>
    <t>[0]</t>
  </si>
  <si>
    <t>[1]</t>
  </si>
  <si>
    <t>[2]</t>
  </si>
  <si>
    <t>[3]</t>
  </si>
  <si>
    <t>[4]</t>
  </si>
  <si>
    <t>[5]</t>
  </si>
  <si>
    <t>[6]</t>
  </si>
  <si>
    <t>[7]</t>
  </si>
  <si>
    <t>[8]</t>
  </si>
  <si>
    <t>[9]</t>
  </si>
  <si>
    <t>Total MD Files in Vault</t>
  </si>
  <si>
    <t>Markdown Files in dirs_skip</t>
  </si>
  <si>
    <t>Workbook Options</t>
  </si>
  <si>
    <t>Use Full Vault Pathnames for Markdown Files</t>
  </si>
  <si>
    <t>Currently</t>
  </si>
  <si>
    <t>1E5155</t>
  </si>
  <si>
    <t>C4E7EA</t>
  </si>
  <si>
    <t>F8C6C6</t>
  </si>
  <si>
    <t>FBDFCF</t>
  </si>
  <si>
    <t>F9F0D4</t>
  </si>
  <si>
    <t>E1EEE8</t>
  </si>
  <si>
    <t>DBE6EB</t>
  </si>
  <si>
    <t>EBDEEB</t>
  </si>
  <si>
    <t>8AD0D5</t>
  </si>
  <si>
    <t>F28E8D</t>
  </si>
  <si>
    <t>F7C09F</t>
  </si>
  <si>
    <t>F4E2A9</t>
  </si>
  <si>
    <t>C3DDD2</t>
  </si>
  <si>
    <t>B8CED8</t>
  </si>
  <si>
    <t>D8BED7</t>
  </si>
  <si>
    <t>4FB8C1</t>
  </si>
  <si>
    <t>EC5654</t>
  </si>
  <si>
    <t>FFFFFF</t>
  </si>
  <si>
    <t>F0D37E</t>
  </si>
  <si>
    <t>A5CDBC</t>
  </si>
  <si>
    <t>95B6C5</t>
  </si>
  <si>
    <t>C59DC3</t>
  </si>
  <si>
    <t>54849A</t>
  </si>
  <si>
    <t>B01513</t>
  </si>
  <si>
    <t>EA6312</t>
  </si>
  <si>
    <t>E6B729</t>
  </si>
  <si>
    <t>6AAC90</t>
  </si>
  <si>
    <t>9E5E9B</t>
  </si>
  <si>
    <t>Accents</t>
  </si>
  <si>
    <t>Accents (L-R)</t>
  </si>
  <si>
    <t>Accent1</t>
  </si>
  <si>
    <t>Accent2</t>
  </si>
  <si>
    <t>Accent3</t>
  </si>
  <si>
    <t>Accent4</t>
  </si>
  <si>
    <t>Accent5</t>
  </si>
  <si>
    <t>Accent6</t>
  </si>
  <si>
    <t>Aqu/Teal</t>
  </si>
  <si>
    <t>Solid</t>
  </si>
  <si>
    <t>Based on Ion Theme</t>
  </si>
  <si>
    <t>D3D3D3</t>
  </si>
  <si>
    <t>B0B0B0</t>
  </si>
  <si>
    <t>7F7F7F</t>
  </si>
  <si>
    <t>3F3F3F</t>
  </si>
  <si>
    <t>A5A5A5</t>
  </si>
  <si>
    <t>163C3F</t>
  </si>
  <si>
    <t>840F0E</t>
  </si>
  <si>
    <t>AF4A0D</t>
  </si>
  <si>
    <t>B58E15</t>
  </si>
  <si>
    <t>4A856C</t>
  </si>
  <si>
    <t>3F6373</t>
  </si>
  <si>
    <t>"</t>
  </si>
  <si>
    <t>F3A16F</t>
  </si>
  <si>
    <t>Column1</t>
  </si>
  <si>
    <t>wht</t>
  </si>
  <si>
    <t>blk</t>
  </si>
  <si>
    <t>aqu</t>
  </si>
  <si>
    <t>red</t>
  </si>
  <si>
    <t>ora</t>
  </si>
  <si>
    <t>yel</t>
  </si>
  <si>
    <t>grn</t>
  </si>
  <si>
    <t>blu</t>
  </si>
  <si>
    <t>pur</t>
  </si>
  <si>
    <t>Darker50%</t>
  </si>
  <si>
    <t>0D0D0D</t>
  </si>
  <si>
    <t>0F282B</t>
  </si>
  <si>
    <t>580C0A</t>
  </si>
  <si>
    <t>29424E</t>
  </si>
  <si>
    <t>4F2F4E</t>
  </si>
  <si>
    <t>7A600E</t>
  </si>
  <si>
    <t>DADDF6</t>
  </si>
  <si>
    <t>2C3DBE</t>
  </si>
  <si>
    <t>3B4DD1</t>
  </si>
  <si>
    <t>AFB5EB</t>
  </si>
  <si>
    <t>2E3BB4</t>
  </si>
  <si>
    <t>212A83</t>
  </si>
  <si>
    <t>7C85DE</t>
  </si>
  <si>
    <t>My Blue</t>
  </si>
  <si>
    <t>tea</t>
  </si>
  <si>
    <t>#57BF70</t>
  </si>
  <si>
    <t>#B1E1BC</t>
  </si>
  <si>
    <t>#8AD29B</t>
  </si>
  <si>
    <t>#B6E4C1</t>
  </si>
  <si>
    <t>#1D4B28</t>
  </si>
  <si>
    <t>#2C763E</t>
  </si>
  <si>
    <t>My Green</t>
  </si>
  <si>
    <t>B1E1BC</t>
  </si>
  <si>
    <t>B6E4C1</t>
  </si>
  <si>
    <t>8AD29B</t>
  </si>
  <si>
    <t>2C763E</t>
  </si>
  <si>
    <t>1D4B28</t>
  </si>
  <si>
    <t>57BF70</t>
  </si>
  <si>
    <t>#4169E1</t>
  </si>
  <si>
    <t>sea</t>
  </si>
  <si>
    <t>RowStyle</t>
  </si>
  <si>
    <t>Style</t>
  </si>
  <si>
    <t>Light</t>
  </si>
  <si>
    <t>Medium</t>
  </si>
  <si>
    <t>Dark</t>
  </si>
  <si>
    <t xml:space="preserve"> 5        6</t>
  </si>
  <si>
    <t>White</t>
  </si>
  <si>
    <t>Black</t>
  </si>
  <si>
    <t>4169E1</t>
  </si>
  <si>
    <t>000000</t>
  </si>
  <si>
    <t>Table Colors (Ion)</t>
  </si>
  <si>
    <t>NOTE: Non-Dflt Text Colors in italics</t>
  </si>
  <si>
    <t>Code</t>
  </si>
  <si>
    <t>Xyml</t>
  </si>
  <si>
    <t>Duplicates</t>
  </si>
  <si>
    <t>Properties Detail</t>
  </si>
  <si>
    <t>Properties (this page)</t>
  </si>
  <si>
    <t>v.1.0</t>
  </si>
  <si>
    <t>Properties and Values Summary</t>
  </si>
  <si>
    <t>Properties and Values Detailed Analysis</t>
  </si>
  <si>
    <t>Control Counts From v_chk:</t>
  </si>
  <si>
    <t>Dups Tested</t>
  </si>
  <si>
    <t>Use Full Vault Pathnames for Note Links</t>
  </si>
  <si>
    <t>Lists all Properties and Tags found in an Obsidian Vault with links back to the markdown files where they are used. Duplicate Markdown files (i.e, files with the same name, but</t>
  </si>
  <si>
    <t>reside in different  folders) are also detected, as well as files with frontmatter issues.</t>
  </si>
  <si>
    <t>Select cells of the same range size</t>
  </si>
  <si>
    <t>then, enter '=name' and press CTRL+Shift+Enter</t>
  </si>
  <si>
    <t>Does not copy Styles</t>
  </si>
  <si>
    <t>Notes w/o Properties</t>
  </si>
  <si>
    <t>Unknown Error in Frontmatter</t>
  </si>
  <si>
    <t>Just use the Plugin's interfaceand let it do the editing</t>
  </si>
  <si>
    <t>as it was designed.</t>
  </si>
  <si>
    <t>terms</t>
  </si>
  <si>
    <t xml:space="preserve"> 💡 Review the Xyml tab to quickly identify problem areas. Use the links to  jump back to the note in question to make changes. Then, run the script again, until all files with YAML are properly represented in the report. 
 💡 Use Filters on tables to drill down and inspect specific attributes of the data. Unique Totals will be updated to reflect the rows shown, whenever filters are appropriate for slicing the data.
 💡 Look for possible "tag typos" by sorting Tags by Note count.Typo/strays should't have a lot of links!</t>
  </si>
  <si>
    <t>AVERAGE</t>
  </si>
  <si>
    <t>COUNT</t>
  </si>
  <si>
    <t>COUNTA</t>
  </si>
  <si>
    <t>MAX</t>
  </si>
  <si>
    <t>MIN</t>
  </si>
  <si>
    <t>PRODUCT</t>
  </si>
  <si>
    <t>STDEV.S</t>
  </si>
  <si>
    <t>STDEV.P</t>
  </si>
  <si>
    <t>SUM</t>
  </si>
  <si>
    <t>Ignore nested SUBTOTAL and AGGREGATE functions</t>
  </si>
  <si>
    <t>Ignore hidden rows, nested SUBTOTAL and AGGREGATE functions</t>
  </si>
  <si>
    <t>Ignore error values, nested SUBTOTAL and AGGREGATE functions</t>
  </si>
  <si>
    <t>Ignore hidden rows, error values, nested SUBTOTAL and AGGREGATE functions</t>
  </si>
  <si>
    <t>Ignore nothing</t>
  </si>
  <si>
    <t>Ignore hidden rows</t>
  </si>
  <si>
    <t>Ignore error values</t>
  </si>
  <si>
    <t>Ignore hidden rows and error values</t>
  </si>
  <si>
    <t>0/null</t>
  </si>
  <si>
    <t>aggregate(col1, col2, array)</t>
  </si>
  <si>
    <t>Array Formulas</t>
  </si>
  <si>
    <t>True?</t>
  </si>
  <si>
    <t>Obsidian Vault Health Check</t>
  </si>
  <si>
    <t>Vault Totals</t>
  </si>
  <si>
    <t>Franklin Gothic Book</t>
  </si>
  <si>
    <t>Inline</t>
  </si>
  <si>
    <t>Templates</t>
  </si>
  <si>
    <t>w/YAML Issues</t>
  </si>
  <si>
    <t>Plugins Installed/Enabled</t>
  </si>
  <si>
    <t>FM</t>
  </si>
  <si>
    <t>CaseDiffs</t>
  </si>
  <si>
    <t>Displayed</t>
  </si>
  <si>
    <t>Depracted Properties</t>
  </si>
  <si>
    <t>Notes w/No Properties</t>
  </si>
  <si>
    <t>Orphans</t>
  </si>
  <si>
    <t>Rows</t>
  </si>
  <si>
    <t xml:space="preserve">-- Proof-Of-Concept -- </t>
  </si>
  <si>
    <t>YAML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</si>
</sst>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h:mm:ss"/>
    <numFmt numFmtId="166" formatCode="000000"/>
  </numFmts>
  <fonts count="57">
    <font>
      <sz val="11"/>
      <color theme="1"/>
      <name val="Franklin Gothic Book"/>
      <family val="2"/>
      <scheme val="minor"/>
    </font>
    <font>
      <sz val="11"/>
      <name val="default"/>
    </font>
    <font>
      <b/>
      <sz val="11"/>
      <name val="default"/>
    </font>
    <font>
      <b/>
      <sz val="11"/>
      <color rgb="FFFFFFFF"/>
      <name val="default"/>
    </font>
    <font>
      <sz val="11"/>
      <color rgb="FFFFFFFF"/>
      <name val="default"/>
    </font>
    <font>
      <b/>
      <u/>
      <sz val="11"/>
      <color rgb="FF1F497D"/>
      <name val="Calibri"/>
      <family val="2"/>
    </font>
    <font>
      <b/>
      <i/>
      <sz val="11"/>
      <color rgb="FFC0504D"/>
      <name val="default"/>
    </font>
    <font>
      <sz val="11"/>
      <color rgb="FF54849A"/>
      <name val="default"/>
    </font>
    <font>
      <b/>
      <sz val="14"/>
      <color rgb="FFFFFFFF"/>
      <name val="default"/>
    </font>
    <font>
      <b/>
      <i/>
      <sz val="12"/>
      <color rgb="FFC0504D"/>
      <name val="default"/>
    </font>
    <font>
      <b/>
      <sz val="24"/>
      <color rgb="FF6AAC90"/>
      <name val="Berlin Sans FB Demi"/>
      <family val="2"/>
    </font>
    <font>
      <sz val="11"/>
      <color rgb="FF6AAC90"/>
      <name val="default"/>
    </font>
    <font>
      <b/>
      <sz val="24"/>
      <color rgb="FF9E5E9B"/>
      <name val="Berlin Sans FB Demi"/>
      <family val="2"/>
    </font>
    <font>
      <sz val="11"/>
      <color rgb="FF9E5E9B"/>
      <name val="default"/>
    </font>
    <font>
      <b/>
      <sz val="24"/>
      <color rgb="FFEA6312"/>
      <name val="Berlin Sans FB Demi"/>
      <family val="2"/>
    </font>
    <font>
      <sz val="11"/>
      <color rgb="FFEA6312"/>
      <name val="default"/>
    </font>
    <font>
      <b/>
      <sz val="24"/>
      <color rgb="FFB01513"/>
      <name val="Berlin Sans FB Demi"/>
      <family val="2"/>
    </font>
    <font>
      <b/>
      <sz val="12"/>
      <color rgb="FFFFFFFF"/>
      <name val="default"/>
    </font>
    <font>
      <b/>
      <sz val="24"/>
      <color rgb="FFE6B729"/>
      <name val="Berlin Sans FB Demi"/>
      <family val="2"/>
    </font>
    <font>
      <b/>
      <sz val="11"/>
      <color rgb="FF000000"/>
      <name val="default"/>
    </font>
    <font>
      <sz val="11"/>
      <color rgb="FF000000"/>
      <name val="default"/>
    </font>
    <font>
      <sz val="11"/>
      <color rgb="FFE6B729"/>
      <name val="default"/>
    </font>
    <font>
      <b/>
      <sz val="14"/>
      <color rgb="FF000000"/>
      <name val="default"/>
    </font>
    <font>
      <b/>
      <sz val="12"/>
      <color rgb="FF000000"/>
      <name val="default"/>
    </font>
    <font>
      <sz val="11"/>
      <color rgb="FFB01513"/>
      <name val="default"/>
    </font>
    <font>
      <sz val="11"/>
      <color rgb="FF006100"/>
      <name val="Aptos"/>
      <family val="2"/>
    </font>
    <font>
      <sz val="11"/>
      <color rgb="FF9C0006"/>
      <name val="Aptos"/>
      <family val="2"/>
    </font>
    <font>
      <b/>
      <sz val="11"/>
      <color theme="0"/>
      <name val="Aptos"/>
      <family val="2"/>
    </font>
    <font>
      <sz val="8"/>
      <name val="Franklin Gothic Book"/>
      <family val="2"/>
      <scheme val="minor"/>
    </font>
    <font>
      <sz val="11"/>
      <color theme="1"/>
      <name val="DejaVu Sans Mono"/>
      <family val="3"/>
    </font>
    <font>
      <b/>
      <sz val="9.8000000000000007"/>
      <name val="DejaVu Sans Mono"/>
      <family val="3"/>
    </font>
    <font>
      <b/>
      <sz val="11"/>
      <color theme="0"/>
      <name val="DejaVu Sans Mono"/>
      <family val="3"/>
    </font>
    <font>
      <sz val="11"/>
      <color theme="0"/>
      <name val="DejaVu Sans Mono"/>
      <family val="3"/>
    </font>
    <font>
      <b/>
      <i/>
      <sz val="11"/>
      <name val="DejaVu Sans Mono"/>
      <family val="3"/>
    </font>
    <font>
      <i/>
      <sz val="11"/>
      <color theme="1"/>
      <name val="DejaVu Sans Mono"/>
      <family val="3"/>
    </font>
    <font>
      <i/>
      <sz val="11"/>
      <name val="DejaVu Sans Mono"/>
      <family val="3"/>
    </font>
    <font>
      <b/>
      <i/>
      <sz val="11"/>
      <color theme="0"/>
      <name val="DejaVu Sans Mono"/>
      <family val="3"/>
    </font>
    <font>
      <b/>
      <i/>
      <sz val="11"/>
      <color theme="1"/>
      <name val="DejaVu Sans Mono"/>
      <family val="3"/>
    </font>
    <font>
      <b/>
      <sz val="24"/>
      <color rgb="FF54849A"/>
      <name val="Berlin Sans FB Demi"/>
      <family val="2"/>
    </font>
    <font>
      <b/>
      <sz val="11"/>
      <color rgb="FFFA7D00"/>
      <name val="Aptos"/>
      <family val="2"/>
    </font>
    <font>
      <u/>
      <sz val="11"/>
      <color theme="10"/>
      <name val="Franklin Gothic Book"/>
      <family val="2"/>
      <scheme val="minor"/>
    </font>
    <font>
      <sz val="11"/>
      <color theme="1"/>
      <name val="Franklin Gothic Book"/>
      <family val="2"/>
    </font>
    <font>
      <sz val="28"/>
      <color theme="1"/>
      <name val="Franklin Gothic Book"/>
      <family val="2"/>
    </font>
    <font>
      <sz val="11"/>
      <name val="Franklin Gothic Book"/>
      <family val="2"/>
    </font>
    <font>
      <b/>
      <sz val="14"/>
      <color rgb="FFFFFFFF"/>
      <name val="Franklin Gothic Book"/>
      <family val="2"/>
    </font>
    <font>
      <b/>
      <sz val="11"/>
      <color rgb="FFFFFFFF"/>
      <name val="Franklin Gothic Book"/>
      <family val="2"/>
    </font>
    <font>
      <b/>
      <sz val="11"/>
      <color rgb="FF000000"/>
      <name val="Franklin Gothic Book"/>
      <family val="2"/>
    </font>
    <font>
      <b/>
      <i/>
      <sz val="11"/>
      <color rgb="FFFF0000"/>
      <name val="Franklin Gothic Book"/>
      <family val="2"/>
    </font>
    <font>
      <b/>
      <u/>
      <sz val="11"/>
      <color theme="1"/>
      <name val="Franklin Gothic Book"/>
      <family val="2"/>
    </font>
    <font>
      <b/>
      <sz val="16"/>
      <color theme="1"/>
      <name val="Franklin Gothic Book"/>
      <family val="2"/>
    </font>
    <font>
      <b/>
      <sz val="11"/>
      <color rgb="FFFA7D00"/>
      <name val="Franklin Gothic Book"/>
      <family val="2"/>
    </font>
    <font>
      <sz val="11"/>
      <color rgb="FF006100"/>
      <name val="Franklin Gothic Book"/>
      <family val="2"/>
    </font>
    <font>
      <sz val="11"/>
      <color rgb="FF000000"/>
      <name val="Franklin Gothic Book"/>
      <family val="2"/>
    </font>
    <font>
      <b/>
      <u/>
      <sz val="11"/>
      <color theme="3"/>
      <name val="Franklin Gothic Book"/>
      <family val="2"/>
    </font>
    <font>
      <u/>
      <sz val="11"/>
      <color theme="3"/>
      <name val="Franklin Gothic Book"/>
      <family val="2"/>
    </font>
    <font>
      <b/>
      <sz val="11"/>
      <color theme="4"/>
      <name val="Franklin Gothic Book"/>
      <family val="2"/>
    </font>
    <font>
      <sz val="11"/>
      <color rgb="FF9C5700"/>
      <name val="Aptos"/>
      <family val="2"/>
    </font>
  </fonts>
  <fills count="97">
    <fill>
      <patternFill patternType="none"/>
    </fill>
    <fill>
      <patternFill patternType="gray125"/>
    </fill>
    <fill>
      <patternFill patternType="solid">
        <fgColor rgb="FF54849A"/>
        <bgColor rgb="FF54849A"/>
      </patternFill>
    </fill>
    <fill>
      <patternFill patternType="solid">
        <fgColor rgb="FFB01513"/>
        <bgColor rgb="FFB01513"/>
      </patternFill>
    </fill>
    <fill>
      <patternFill patternType="solid">
        <fgColor rgb="FF6AAC90"/>
        <bgColor rgb="FF6AAC90"/>
      </patternFill>
    </fill>
    <fill>
      <patternFill patternType="solid">
        <fgColor rgb="FFE6B729"/>
        <bgColor rgb="FFE6B729"/>
      </patternFill>
    </fill>
    <fill>
      <patternFill patternType="solid">
        <fgColor rgb="FF9E5E9B"/>
        <bgColor rgb="FF9E5E9B"/>
      </patternFill>
    </fill>
    <fill>
      <patternFill patternType="solid">
        <fgColor rgb="FFEA6312"/>
        <bgColor rgb="FFEA6312"/>
      </patternFill>
    </fill>
    <fill>
      <patternFill patternType="solid">
        <fgColor rgb="FFC6EFCE"/>
      </patternFill>
    </fill>
    <fill>
      <patternFill patternType="solid">
        <fgColor rgb="FFFFC7CE"/>
      </patternFill>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6" tint="0.79998168889431442"/>
        <bgColor theme="6" tint="0.79998168889431442"/>
      </patternFill>
    </fill>
    <fill>
      <patternFill patternType="solid">
        <fgColor theme="3" tint="0.79998168889431442"/>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5"/>
        <bgColor theme="5"/>
      </patternFill>
    </fill>
    <fill>
      <patternFill patternType="solid">
        <fgColor theme="5" tint="0.59999389629810485"/>
        <bgColor theme="5" tint="0.59999389629810485"/>
      </patternFill>
    </fill>
    <fill>
      <patternFill patternType="solid">
        <fgColor theme="7"/>
        <bgColor theme="7"/>
      </patternFill>
    </fill>
    <fill>
      <patternFill patternType="solid">
        <fgColor theme="7" tint="0.59999389629810485"/>
        <bgColor theme="7" tint="0.5999938962981048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9"/>
        <bgColor theme="9"/>
      </patternFill>
    </fill>
    <fill>
      <patternFill patternType="solid">
        <fgColor theme="9" tint="0.59999389629810485"/>
        <bgColor theme="9" tint="0.59999389629810485"/>
      </patternFill>
    </fill>
    <fill>
      <patternFill patternType="solid">
        <fgColor theme="6"/>
        <bgColor theme="6"/>
      </patternFill>
    </fill>
    <fill>
      <patternFill patternType="solid">
        <fgColor theme="6" tint="0.59999389629810485"/>
        <bgColor theme="6" tint="0.5999938962981048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bgColor indexed="64"/>
      </patternFill>
    </fill>
    <fill>
      <patternFill patternType="solid">
        <fgColor theme="5"/>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2C3DBE"/>
        <bgColor indexed="64"/>
      </patternFill>
    </fill>
    <fill>
      <patternFill patternType="solid">
        <fgColor rgb="FFDADDF6"/>
        <bgColor indexed="64"/>
      </patternFill>
    </fill>
    <fill>
      <patternFill patternType="solid">
        <fgColor rgb="FFAFB5EB"/>
        <bgColor indexed="64"/>
      </patternFill>
    </fill>
    <fill>
      <patternFill patternType="solid">
        <fgColor rgb="FF7C85DE"/>
        <bgColor indexed="64"/>
      </patternFill>
    </fill>
    <fill>
      <patternFill patternType="solid">
        <fgColor rgb="FF212A83"/>
        <bgColor indexed="64"/>
      </patternFill>
    </fill>
    <fill>
      <patternFill patternType="solid">
        <fgColor rgb="FF2E3BB4"/>
        <bgColor indexed="64"/>
      </patternFill>
    </fill>
    <fill>
      <patternFill patternType="solid">
        <fgColor rgb="FF3B4DD1"/>
        <bgColor indexed="64"/>
      </patternFill>
    </fill>
    <fill>
      <patternFill patternType="solid">
        <fgColor rgb="FF57BF70"/>
        <bgColor indexed="64"/>
      </patternFill>
    </fill>
    <fill>
      <patternFill patternType="solid">
        <fgColor rgb="FFD5EFDB"/>
        <bgColor indexed="64"/>
      </patternFill>
    </fill>
    <fill>
      <patternFill patternType="solid">
        <fgColor rgb="FF8AD29B"/>
        <bgColor indexed="64"/>
      </patternFill>
    </fill>
    <fill>
      <patternFill patternType="solid">
        <fgColor rgb="FFB6E4C1"/>
        <bgColor indexed="64"/>
      </patternFill>
    </fill>
    <fill>
      <patternFill patternType="solid">
        <fgColor rgb="FF1D4B28"/>
        <bgColor indexed="64"/>
      </patternFill>
    </fill>
    <fill>
      <patternFill patternType="solid">
        <fgColor rgb="FF2C763E"/>
        <bgColor indexed="64"/>
      </patternFill>
    </fill>
    <fill>
      <patternFill patternType="solid">
        <fgColor rgb="FF4169E1"/>
        <bgColor indexed="64"/>
      </patternFill>
    </fill>
    <fill>
      <patternFill patternType="solid">
        <fgColor theme="4" tint="0.79998168889431442"/>
        <bgColor indexed="64"/>
      </patternFill>
    </fill>
    <fill>
      <patternFill patternType="solid">
        <fgColor theme="1"/>
        <bgColor indexed="64"/>
      </patternFill>
    </fill>
    <fill>
      <patternFill patternType="solid">
        <fgColor rgb="FFAFB5EB"/>
        <bgColor rgb="FFAFB5EB"/>
      </patternFill>
    </fill>
    <fill>
      <patternFill patternType="solid">
        <fgColor rgb="FFB6E4C1"/>
        <bgColor rgb="FFB6E4C1"/>
      </patternFill>
    </fill>
    <fill>
      <patternFill patternType="solid">
        <fgColor rgb="FFD8BED7"/>
        <bgColor rgb="FFD8BED7"/>
      </patternFill>
    </fill>
    <fill>
      <patternFill patternType="solid">
        <fgColor rgb="FFF7C09F"/>
        <bgColor rgb="FFF7C09F"/>
      </patternFill>
    </fill>
    <fill>
      <patternFill patternType="solid">
        <fgColor rgb="FFF28E8D"/>
        <bgColor rgb="FFF28E8D"/>
      </patternFill>
    </fill>
    <fill>
      <patternFill patternType="solid">
        <fgColor theme="0"/>
        <bgColor rgb="FFB01513"/>
      </patternFill>
    </fill>
    <fill>
      <patternFill patternType="solid">
        <fgColor theme="0"/>
        <bgColor rgb="FFF7C09F"/>
      </patternFill>
    </fill>
    <fill>
      <patternFill patternType="solid">
        <fgColor theme="0"/>
        <bgColor indexed="64"/>
      </patternFill>
    </fill>
    <fill>
      <patternFill patternType="solid">
        <fgColor rgb="FFF2F2F2"/>
      </patternFill>
    </fill>
    <fill>
      <patternFill patternType="solid">
        <fgColor theme="6" tint="0.39997558519241921"/>
        <bgColor rgb="FFE6B729"/>
      </patternFill>
    </fill>
    <fill>
      <patternFill patternType="solid">
        <fgColor theme="8"/>
        <bgColor rgb="FFB01513"/>
      </patternFill>
    </fill>
    <fill>
      <patternFill patternType="solid">
        <fgColor theme="7"/>
        <bgColor rgb="FFB01513"/>
      </patternFill>
    </fill>
    <fill>
      <patternFill patternType="solid">
        <fgColor theme="9"/>
        <bgColor rgb="FFB01513"/>
      </patternFill>
    </fill>
    <fill>
      <patternFill patternType="solid">
        <fgColor theme="5"/>
        <bgColor rgb="FFB01513"/>
      </patternFill>
    </fill>
    <fill>
      <patternFill patternType="solid">
        <fgColor theme="1" tint="0.499984740745262"/>
        <bgColor rgb="FFB01513"/>
      </patternFill>
    </fill>
    <fill>
      <patternFill patternType="solid">
        <fgColor rgb="FFFFEB9C"/>
      </patternFill>
    </fill>
  </fills>
  <borders count="21">
    <border>
      <left/>
      <right/>
      <top/>
      <bottom/>
      <diagonal/>
    </border>
    <border>
      <left/>
      <right/>
      <top/>
      <bottom style="thick">
        <color theme="0"/>
      </bottom>
      <diagonal/>
    </border>
    <border>
      <left/>
      <right/>
      <top style="thin">
        <color theme="0"/>
      </top>
      <bottom style="thin">
        <color theme="0"/>
      </bottom>
      <diagonal/>
    </border>
    <border>
      <left/>
      <right/>
      <top style="thin">
        <color theme="0"/>
      </top>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theme="0"/>
      </bottom>
      <diagonal/>
    </border>
    <border>
      <left/>
      <right style="medium">
        <color indexed="64"/>
      </right>
      <top/>
      <bottom style="thick">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ck">
        <color auto="1"/>
      </top>
      <bottom/>
      <diagonal/>
    </border>
    <border>
      <left/>
      <right/>
      <top/>
      <bottom style="thick">
        <color auto="1"/>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top style="thin">
        <color theme="7" tint="0.39997558519241921"/>
      </top>
      <bottom style="thin">
        <color theme="7" tint="0.39997558519241921"/>
      </bottom>
      <diagonal/>
    </border>
  </borders>
  <cellStyleXfs count="6">
    <xf numFmtId="0" fontId="0" fillId="0" borderId="0"/>
    <xf numFmtId="0" fontId="25" fillId="8" borderId="0" applyNumberFormat="0" applyBorder="0" applyAlignment="0" applyProtection="0"/>
    <xf numFmtId="0" fontId="26" fillId="9" borderId="0" applyNumberFormat="0" applyBorder="0" applyAlignment="0" applyProtection="0"/>
    <xf numFmtId="0" fontId="39" fillId="89" borderId="18" applyNumberFormat="0" applyAlignment="0" applyProtection="0"/>
    <xf numFmtId="0" fontId="40" fillId="0" borderId="0" applyNumberFormat="0" applyFill="0" applyBorder="0" applyAlignment="0" applyProtection="0"/>
    <xf numFmtId="0" fontId="56" fillId="96" borderId="0" applyNumberFormat="0" applyBorder="0" applyAlignment="0" applyProtection="0"/>
  </cellStyleXfs>
  <cellXfs count="268">
    <xf numFmtId="0" fontId="0" fillId="0" borderId="0" xfId="0"/>
    <xf numFmtId="0" fontId="16" fillId="0" borderId="0" xfId="0" applyFont="1" applyAlignment="1">
      <alignment horizontal="left" vertical="center"/>
    </xf>
    <xf numFmtId="0" fontId="1" fillId="0" borderId="0" xfId="0" applyFont="1" applyAlignment="1">
      <alignment horizontal="left" vertical="center"/>
    </xf>
    <xf numFmtId="0" fontId="3" fillId="3" borderId="0" xfId="0" applyFont="1" applyFill="1" applyAlignment="1">
      <alignment horizontal="right" vertical="center"/>
    </xf>
    <xf numFmtId="0" fontId="1" fillId="0" borderId="0" xfId="0" applyFont="1" applyAlignment="1">
      <alignment horizontal="center" vertical="center"/>
    </xf>
    <xf numFmtId="0" fontId="9" fillId="0" borderId="0" xfId="0" applyFont="1" applyAlignment="1">
      <alignment horizontal="left" vertical="center"/>
    </xf>
    <xf numFmtId="0" fontId="8" fillId="3" borderId="0" xfId="0"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24" fillId="3" borderId="0" xfId="0" applyFont="1" applyFill="1" applyAlignment="1">
      <alignment horizontal="right" vertical="center"/>
    </xf>
    <xf numFmtId="0" fontId="4" fillId="2" borderId="0" xfId="0" applyFont="1" applyFill="1" applyAlignment="1">
      <alignment horizontal="right" vertical="center"/>
    </xf>
    <xf numFmtId="0" fontId="1" fillId="0" borderId="0" xfId="0" applyFont="1" applyAlignment="1">
      <alignment horizontal="right" vertical="center"/>
    </xf>
    <xf numFmtId="0" fontId="4" fillId="4" borderId="0" xfId="0" applyFont="1" applyFill="1" applyAlignment="1">
      <alignment horizontal="right" vertical="center"/>
    </xf>
    <xf numFmtId="0" fontId="4" fillId="3" borderId="0" xfId="0" applyFont="1" applyFill="1" applyAlignment="1">
      <alignment horizontal="right" vertical="center"/>
    </xf>
    <xf numFmtId="0" fontId="6" fillId="0" borderId="0" xfId="0" applyFont="1" applyAlignment="1">
      <alignment horizontal="left" vertical="center"/>
    </xf>
    <xf numFmtId="0" fontId="8" fillId="2" borderId="0" xfId="0" applyFont="1" applyFill="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4" fillId="2" borderId="0" xfId="0" applyFont="1" applyFill="1" applyAlignment="1">
      <alignment horizontal="left" vertical="center"/>
    </xf>
    <xf numFmtId="0" fontId="7" fillId="2" borderId="0" xfId="0" applyFont="1" applyFill="1" applyAlignment="1">
      <alignment horizontal="right" vertical="center"/>
    </xf>
    <xf numFmtId="0" fontId="2" fillId="0" borderId="0" xfId="0" applyFont="1" applyAlignment="1">
      <alignment horizontal="left" vertical="center"/>
    </xf>
    <xf numFmtId="0" fontId="5" fillId="0" borderId="0" xfId="0" applyFont="1" applyAlignment="1">
      <alignment horizontal="left" vertical="center"/>
    </xf>
    <xf numFmtId="164" fontId="1" fillId="0" borderId="0" xfId="0" applyNumberFormat="1" applyFont="1" applyAlignment="1">
      <alignment horizontal="left" vertical="center"/>
    </xf>
    <xf numFmtId="165" fontId="1" fillId="0" borderId="0" xfId="0" applyNumberFormat="1" applyFont="1" applyAlignment="1">
      <alignment horizontal="left" vertical="center"/>
    </xf>
    <xf numFmtId="0" fontId="10" fillId="0" borderId="0" xfId="0" applyFont="1" applyAlignment="1">
      <alignment horizontal="left" vertical="center"/>
    </xf>
    <xf numFmtId="0" fontId="8" fillId="4" borderId="0" xfId="0" applyFont="1" applyFill="1" applyAlignment="1">
      <alignment horizontal="left" vertical="center"/>
    </xf>
    <xf numFmtId="0" fontId="3" fillId="4" borderId="0" xfId="0" applyFont="1" applyFill="1" applyAlignment="1">
      <alignment horizontal="right" vertical="center"/>
    </xf>
    <xf numFmtId="0" fontId="3" fillId="5" borderId="0" xfId="0" applyFont="1" applyFill="1" applyAlignment="1">
      <alignment horizontal="righ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11" fillId="4" borderId="0" xfId="0" applyFont="1" applyFill="1" applyAlignment="1">
      <alignment horizontal="right" vertical="center"/>
    </xf>
    <xf numFmtId="0" fontId="12" fillId="0" borderId="0" xfId="0" applyFont="1" applyAlignment="1">
      <alignment horizontal="left" vertical="center"/>
    </xf>
    <xf numFmtId="0" fontId="8" fillId="6" borderId="0" xfId="0" applyFont="1" applyFill="1" applyAlignment="1">
      <alignment horizontal="left" vertical="center"/>
    </xf>
    <xf numFmtId="0" fontId="3" fillId="6" borderId="0" xfId="0" applyFont="1" applyFill="1" applyAlignment="1">
      <alignment horizontal="righ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13" fillId="6" borderId="0" xfId="0" applyFont="1" applyFill="1" applyAlignment="1">
      <alignment horizontal="right" vertical="center"/>
    </xf>
    <xf numFmtId="0" fontId="14" fillId="0" borderId="0" xfId="0" applyFont="1" applyAlignment="1">
      <alignment horizontal="left" vertical="center"/>
    </xf>
    <xf numFmtId="0" fontId="8" fillId="7" borderId="0" xfId="0" applyFont="1" applyFill="1" applyAlignment="1">
      <alignment horizontal="left" vertical="center"/>
    </xf>
    <xf numFmtId="0" fontId="3" fillId="7" borderId="0" xfId="0" applyFont="1" applyFill="1" applyAlignment="1">
      <alignment horizontal="center" vertical="center"/>
    </xf>
    <xf numFmtId="0" fontId="3" fillId="7" borderId="0" xfId="0" applyFont="1" applyFill="1" applyAlignment="1">
      <alignment horizontal="left" vertical="center"/>
    </xf>
    <xf numFmtId="0" fontId="4" fillId="7" borderId="0" xfId="0" applyFont="1" applyFill="1" applyAlignment="1">
      <alignment horizontal="left" vertical="center"/>
    </xf>
    <xf numFmtId="0" fontId="4" fillId="7" borderId="0" xfId="0" applyFont="1" applyFill="1" applyAlignment="1">
      <alignment horizontal="right" vertical="center"/>
    </xf>
    <xf numFmtId="0" fontId="15" fillId="7" borderId="0" xfId="0" applyFont="1" applyFill="1" applyAlignment="1">
      <alignment horizontal="right" vertical="center"/>
    </xf>
    <xf numFmtId="0" fontId="17" fillId="3" borderId="0" xfId="0" applyFont="1" applyFill="1" applyAlignment="1">
      <alignment horizontal="left" vertical="center"/>
    </xf>
    <xf numFmtId="0" fontId="4" fillId="3" borderId="0" xfId="0" applyFont="1" applyFill="1" applyAlignment="1">
      <alignment horizontal="left" vertical="center"/>
    </xf>
    <xf numFmtId="0" fontId="18" fillId="0" borderId="0" xfId="0" applyFont="1" applyAlignment="1">
      <alignment horizontal="left" vertical="center"/>
    </xf>
    <xf numFmtId="0" fontId="22" fillId="5" borderId="0" xfId="0" applyFont="1" applyFill="1" applyAlignment="1">
      <alignment horizontal="left" vertical="center"/>
    </xf>
    <xf numFmtId="0" fontId="23" fillId="5" borderId="0" xfId="0" applyFont="1" applyFill="1" applyAlignment="1">
      <alignment horizontal="left" vertical="center"/>
    </xf>
    <xf numFmtId="0" fontId="23" fillId="4" borderId="0" xfId="0" applyFont="1" applyFill="1" applyAlignment="1">
      <alignment horizontal="right" vertical="center"/>
    </xf>
    <xf numFmtId="0" fontId="19" fillId="5" borderId="0" xfId="0" applyFont="1" applyFill="1" applyAlignment="1">
      <alignment horizontal="center" vertical="center"/>
    </xf>
    <xf numFmtId="0" fontId="19" fillId="5" borderId="0" xfId="0" applyFont="1" applyFill="1" applyAlignment="1">
      <alignment horizontal="left" vertical="center"/>
    </xf>
    <xf numFmtId="0" fontId="21" fillId="5" borderId="0" xfId="0" applyFont="1" applyFill="1" applyAlignment="1">
      <alignment horizontal="right" vertical="center"/>
    </xf>
    <xf numFmtId="0" fontId="23" fillId="5" borderId="0" xfId="0" applyFont="1" applyFill="1" applyAlignment="1">
      <alignment horizontal="center" vertical="center"/>
    </xf>
    <xf numFmtId="0" fontId="20" fillId="5" borderId="0" xfId="0" applyFont="1" applyFill="1" applyAlignment="1">
      <alignment horizontal="left" vertical="center"/>
    </xf>
    <xf numFmtId="0" fontId="19" fillId="4" borderId="0" xfId="0" applyFont="1" applyFill="1" applyAlignment="1">
      <alignment horizontal="right" vertical="center"/>
    </xf>
    <xf numFmtId="0" fontId="1" fillId="0" borderId="0" xfId="0" applyFont="1" applyAlignment="1">
      <alignment horizontal="left" vertical="top" wrapText="1"/>
    </xf>
    <xf numFmtId="0" fontId="26" fillId="9" borderId="0" xfId="2" applyAlignment="1">
      <alignment horizontal="center" vertical="center"/>
    </xf>
    <xf numFmtId="0" fontId="26" fillId="9" borderId="0" xfId="2" applyAlignment="1">
      <alignment horizontal="right" vertical="center"/>
    </xf>
    <xf numFmtId="0" fontId="29" fillId="0" borderId="0" xfId="0" applyFont="1" applyAlignment="1">
      <alignment horizontal="left"/>
    </xf>
    <xf numFmtId="0" fontId="29" fillId="0" borderId="0" xfId="0" applyFont="1"/>
    <xf numFmtId="0" fontId="29" fillId="0" borderId="0" xfId="0" applyFont="1" applyAlignment="1">
      <alignment horizontal="center"/>
    </xf>
    <xf numFmtId="9" fontId="29" fillId="0" borderId="0" xfId="0" applyNumberFormat="1" applyFont="1" applyAlignment="1">
      <alignment horizontal="center"/>
    </xf>
    <xf numFmtId="166" fontId="29" fillId="0" borderId="0" xfId="0" applyNumberFormat="1" applyFont="1" applyAlignment="1">
      <alignment horizontal="center"/>
    </xf>
    <xf numFmtId="0" fontId="29" fillId="0" borderId="0" xfId="0" applyFont="1" applyAlignment="1">
      <alignment horizontal="right"/>
    </xf>
    <xf numFmtId="0" fontId="29" fillId="15" borderId="0" xfId="0" applyFont="1" applyFill="1"/>
    <xf numFmtId="0" fontId="29" fillId="15" borderId="0" xfId="0" applyFont="1" applyFill="1" applyAlignment="1">
      <alignment horizontal="center"/>
    </xf>
    <xf numFmtId="0" fontId="29" fillId="15" borderId="0" xfId="0" applyFont="1" applyFill="1" applyAlignment="1">
      <alignment horizontal="left"/>
    </xf>
    <xf numFmtId="0" fontId="30" fillId="0" borderId="0" xfId="0" applyFont="1" applyAlignment="1">
      <alignment vertical="center"/>
    </xf>
    <xf numFmtId="0" fontId="31" fillId="16" borderId="1" xfId="0" applyFont="1" applyFill="1" applyBorder="1"/>
    <xf numFmtId="0" fontId="29" fillId="10" borderId="3" xfId="0" applyFont="1" applyFill="1" applyBorder="1"/>
    <xf numFmtId="0" fontId="29" fillId="13" borderId="3" xfId="0" applyFont="1" applyFill="1" applyBorder="1"/>
    <xf numFmtId="0" fontId="29" fillId="14" borderId="3" xfId="0" applyFont="1" applyFill="1" applyBorder="1"/>
    <xf numFmtId="0" fontId="29" fillId="12" borderId="3" xfId="0" applyFont="1" applyFill="1" applyBorder="1"/>
    <xf numFmtId="0" fontId="29" fillId="24" borderId="3" xfId="0" applyFont="1" applyFill="1" applyBorder="1"/>
    <xf numFmtId="0" fontId="29" fillId="11" borderId="3" xfId="0" applyFont="1" applyFill="1" applyBorder="1"/>
    <xf numFmtId="0" fontId="29" fillId="17" borderId="2" xfId="0" applyFont="1" applyFill="1" applyBorder="1"/>
    <xf numFmtId="0" fontId="29" fillId="19" borderId="2" xfId="0" applyFont="1" applyFill="1" applyBorder="1"/>
    <xf numFmtId="0" fontId="29" fillId="28" borderId="2" xfId="0" applyFont="1" applyFill="1" applyBorder="1"/>
    <xf numFmtId="0" fontId="29" fillId="21" borderId="2" xfId="0" applyFont="1" applyFill="1" applyBorder="1"/>
    <xf numFmtId="0" fontId="29" fillId="23" borderId="2" xfId="0" applyFont="1" applyFill="1" applyBorder="1"/>
    <xf numFmtId="0" fontId="29" fillId="26" borderId="2" xfId="0" applyFont="1" applyFill="1" applyBorder="1"/>
    <xf numFmtId="0" fontId="29" fillId="30" borderId="0" xfId="0" applyFont="1" applyFill="1"/>
    <xf numFmtId="0" fontId="29" fillId="31" borderId="0" xfId="0" applyFont="1" applyFill="1"/>
    <xf numFmtId="0" fontId="0" fillId="32" borderId="0" xfId="0" applyFill="1"/>
    <xf numFmtId="0" fontId="0" fillId="33" borderId="0" xfId="0" applyFill="1"/>
    <xf numFmtId="0" fontId="0" fillId="34" borderId="0" xfId="0" applyFill="1"/>
    <xf numFmtId="0" fontId="29" fillId="35" borderId="0" xfId="0" applyFont="1" applyFill="1"/>
    <xf numFmtId="0" fontId="29" fillId="36" borderId="0" xfId="0" applyFont="1" applyFill="1"/>
    <xf numFmtId="0" fontId="29" fillId="37" borderId="0" xfId="0" applyFont="1" applyFill="1"/>
    <xf numFmtId="0" fontId="29" fillId="38" borderId="0" xfId="0" applyFont="1" applyFill="1"/>
    <xf numFmtId="0" fontId="29" fillId="39" borderId="0" xfId="0" applyFont="1" applyFill="1"/>
    <xf numFmtId="0" fontId="29" fillId="40" borderId="0" xfId="0" applyFont="1" applyFill="1"/>
    <xf numFmtId="0" fontId="29" fillId="41" borderId="0" xfId="0" applyFont="1" applyFill="1"/>
    <xf numFmtId="0" fontId="29" fillId="42" borderId="0" xfId="0" applyFont="1" applyFill="1"/>
    <xf numFmtId="0" fontId="29" fillId="43" borderId="0" xfId="0" applyFont="1" applyFill="1"/>
    <xf numFmtId="0" fontId="29" fillId="44" borderId="0" xfId="0" applyFont="1" applyFill="1"/>
    <xf numFmtId="0" fontId="29" fillId="45" borderId="0" xfId="0" applyFont="1" applyFill="1"/>
    <xf numFmtId="0" fontId="29" fillId="46" borderId="0" xfId="0" applyFont="1" applyFill="1"/>
    <xf numFmtId="0" fontId="29" fillId="47" borderId="0" xfId="0" applyFont="1" applyFill="1"/>
    <xf numFmtId="0" fontId="29" fillId="49" borderId="0" xfId="0" applyFont="1" applyFill="1"/>
    <xf numFmtId="0" fontId="31" fillId="16" borderId="1" xfId="0" applyFont="1" applyFill="1" applyBorder="1" applyAlignment="1">
      <alignment horizontal="center"/>
    </xf>
    <xf numFmtId="0" fontId="31" fillId="18" borderId="1" xfId="0" applyFont="1" applyFill="1" applyBorder="1" applyAlignment="1">
      <alignment horizontal="center"/>
    </xf>
    <xf numFmtId="0" fontId="31" fillId="22" borderId="1" xfId="0" applyFont="1" applyFill="1" applyBorder="1" applyAlignment="1">
      <alignment horizontal="center"/>
    </xf>
    <xf numFmtId="0" fontId="31" fillId="25" borderId="1" xfId="0" applyFont="1" applyFill="1" applyBorder="1" applyAlignment="1">
      <alignment horizontal="center"/>
    </xf>
    <xf numFmtId="0" fontId="29" fillId="65" borderId="0" xfId="0" applyFont="1" applyFill="1"/>
    <xf numFmtId="0" fontId="29" fillId="66" borderId="0" xfId="0" applyFont="1" applyFill="1"/>
    <xf numFmtId="0" fontId="29" fillId="67" borderId="0" xfId="0" applyFont="1" applyFill="1"/>
    <xf numFmtId="0" fontId="29" fillId="68" borderId="0" xfId="0" applyFont="1" applyFill="1"/>
    <xf numFmtId="0" fontId="32" fillId="71" borderId="0" xfId="0" applyFont="1" applyFill="1"/>
    <xf numFmtId="0" fontId="32" fillId="69" borderId="0" xfId="0" applyFont="1" applyFill="1"/>
    <xf numFmtId="0" fontId="32" fillId="70" borderId="0" xfId="0" applyFont="1" applyFill="1"/>
    <xf numFmtId="0" fontId="29" fillId="72" borderId="0" xfId="0" applyFont="1" applyFill="1"/>
    <xf numFmtId="0" fontId="29" fillId="73" borderId="0" xfId="0" applyFont="1" applyFill="1"/>
    <xf numFmtId="0" fontId="29" fillId="74" borderId="0" xfId="0" applyFont="1" applyFill="1"/>
    <xf numFmtId="0" fontId="29" fillId="75" borderId="0" xfId="0" applyFont="1" applyFill="1"/>
    <xf numFmtId="0" fontId="32" fillId="77" borderId="0" xfId="0" applyFont="1" applyFill="1"/>
    <xf numFmtId="0" fontId="32" fillId="76" borderId="0" xfId="0" applyFont="1" applyFill="1"/>
    <xf numFmtId="0" fontId="0" fillId="78" borderId="0" xfId="0" applyFill="1"/>
    <xf numFmtId="0" fontId="29" fillId="0" borderId="4" xfId="0" applyFont="1" applyBorder="1" applyAlignment="1">
      <alignment horizontal="center"/>
    </xf>
    <xf numFmtId="0" fontId="29" fillId="0" borderId="5" xfId="0" applyFont="1" applyBorder="1" applyAlignment="1">
      <alignment horizontal="center"/>
    </xf>
    <xf numFmtId="0" fontId="29" fillId="79" borderId="5" xfId="0" applyFont="1" applyFill="1" applyBorder="1" applyAlignment="1">
      <alignment horizontal="center"/>
    </xf>
    <xf numFmtId="0" fontId="29" fillId="29" borderId="4" xfId="0" applyFont="1" applyFill="1" applyBorder="1" applyAlignment="1">
      <alignment horizontal="center"/>
    </xf>
    <xf numFmtId="0" fontId="29" fillId="58" borderId="4" xfId="0" applyFont="1" applyFill="1" applyBorder="1" applyAlignment="1">
      <alignment horizontal="center"/>
    </xf>
    <xf numFmtId="0" fontId="32" fillId="36" borderId="4" xfId="0" applyFont="1" applyFill="1" applyBorder="1" applyAlignment="1">
      <alignment horizontal="center"/>
    </xf>
    <xf numFmtId="0" fontId="32" fillId="48" borderId="5" xfId="0" applyFont="1" applyFill="1" applyBorder="1" applyAlignment="1">
      <alignment horizontal="center"/>
    </xf>
    <xf numFmtId="0" fontId="29" fillId="0" borderId="0" xfId="0" quotePrefix="1" applyFont="1" applyAlignment="1">
      <alignment horizontal="left"/>
    </xf>
    <xf numFmtId="0" fontId="29" fillId="0" borderId="6" xfId="0" applyFont="1" applyBorder="1" applyAlignment="1">
      <alignment horizontal="center"/>
    </xf>
    <xf numFmtId="0" fontId="29" fillId="0" borderId="7" xfId="0" applyFont="1" applyBorder="1" applyAlignment="1">
      <alignment horizontal="center"/>
    </xf>
    <xf numFmtId="0" fontId="32" fillId="80" borderId="9" xfId="0" applyFont="1" applyFill="1" applyBorder="1" applyAlignment="1">
      <alignment horizontal="center"/>
    </xf>
    <xf numFmtId="0" fontId="32" fillId="80" borderId="0" xfId="0" applyFont="1" applyFill="1" applyAlignment="1">
      <alignment horizontal="center"/>
    </xf>
    <xf numFmtId="0" fontId="32" fillId="53" borderId="9" xfId="0" applyFont="1" applyFill="1" applyBorder="1" applyAlignment="1">
      <alignment horizontal="center"/>
    </xf>
    <xf numFmtId="0" fontId="32" fillId="53" borderId="0" xfId="0" applyFont="1" applyFill="1" applyAlignment="1">
      <alignment horizontal="center"/>
    </xf>
    <xf numFmtId="0" fontId="31" fillId="16" borderId="11" xfId="0" applyFont="1" applyFill="1" applyBorder="1" applyAlignment="1">
      <alignment horizontal="center"/>
    </xf>
    <xf numFmtId="0" fontId="31" fillId="18" borderId="11" xfId="0" applyFont="1" applyFill="1" applyBorder="1" applyAlignment="1">
      <alignment horizontal="center"/>
    </xf>
    <xf numFmtId="0" fontId="31" fillId="22" borderId="11" xfId="0" applyFont="1" applyFill="1" applyBorder="1" applyAlignment="1">
      <alignment horizontal="center"/>
    </xf>
    <xf numFmtId="0" fontId="31" fillId="25" borderId="11" xfId="0" applyFont="1" applyFill="1" applyBorder="1" applyAlignment="1">
      <alignment horizontal="center"/>
    </xf>
    <xf numFmtId="0" fontId="32" fillId="78" borderId="9" xfId="0" applyFont="1" applyFill="1" applyBorder="1" applyAlignment="1">
      <alignment horizontal="center"/>
    </xf>
    <xf numFmtId="0" fontId="32" fillId="78" borderId="0" xfId="0" applyFont="1" applyFill="1" applyAlignment="1">
      <alignment horizontal="center"/>
    </xf>
    <xf numFmtId="0" fontId="27" fillId="48" borderId="0" xfId="1" applyFont="1" applyFill="1" applyAlignment="1">
      <alignment horizontal="center"/>
    </xf>
    <xf numFmtId="49" fontId="29" fillId="0" borderId="8" xfId="0" applyNumberFormat="1" applyFont="1" applyBorder="1" applyAlignment="1">
      <alignment horizontal="center"/>
    </xf>
    <xf numFmtId="49" fontId="29" fillId="57" borderId="0" xfId="0" applyNumberFormat="1" applyFont="1" applyFill="1" applyAlignment="1">
      <alignment horizontal="center"/>
    </xf>
    <xf numFmtId="49" fontId="29" fillId="58" borderId="0" xfId="0" applyNumberFormat="1" applyFont="1" applyFill="1" applyAlignment="1">
      <alignment horizontal="center"/>
    </xf>
    <xf numFmtId="49" fontId="29" fillId="59" borderId="0" xfId="0" applyNumberFormat="1" applyFont="1" applyFill="1" applyAlignment="1">
      <alignment horizontal="center"/>
    </xf>
    <xf numFmtId="49" fontId="32" fillId="50" borderId="0" xfId="0" applyNumberFormat="1" applyFont="1" applyFill="1" applyAlignment="1">
      <alignment horizontal="center"/>
    </xf>
    <xf numFmtId="49" fontId="32" fillId="80" borderId="10" xfId="0" applyNumberFormat="1" applyFont="1" applyFill="1" applyBorder="1" applyAlignment="1">
      <alignment horizontal="center"/>
    </xf>
    <xf numFmtId="49" fontId="32" fillId="63" borderId="0" xfId="0" applyNumberFormat="1" applyFont="1" applyFill="1" applyAlignment="1">
      <alignment horizontal="center"/>
    </xf>
    <xf numFmtId="49" fontId="32" fillId="51" borderId="0" xfId="0" applyNumberFormat="1" applyFont="1" applyFill="1" applyAlignment="1">
      <alignment horizontal="center"/>
    </xf>
    <xf numFmtId="49" fontId="32" fillId="53" borderId="10" xfId="0" applyNumberFormat="1" applyFont="1" applyFill="1" applyBorder="1" applyAlignment="1">
      <alignment horizontal="center"/>
    </xf>
    <xf numFmtId="49" fontId="29" fillId="15" borderId="0" xfId="0" applyNumberFormat="1" applyFont="1" applyFill="1" applyAlignment="1">
      <alignment horizontal="center"/>
    </xf>
    <xf numFmtId="49" fontId="29" fillId="54" borderId="0" xfId="0" applyNumberFormat="1" applyFont="1" applyFill="1" applyAlignment="1">
      <alignment horizontal="center"/>
    </xf>
    <xf numFmtId="49" fontId="29" fillId="55" borderId="0" xfId="0" applyNumberFormat="1" applyFont="1" applyFill="1" applyAlignment="1">
      <alignment horizontal="center"/>
    </xf>
    <xf numFmtId="49" fontId="32" fillId="56" borderId="0" xfId="0" applyNumberFormat="1" applyFont="1" applyFill="1" applyAlignment="1">
      <alignment horizontal="center"/>
    </xf>
    <xf numFmtId="49" fontId="32" fillId="52" borderId="0" xfId="0" applyNumberFormat="1" applyFont="1" applyFill="1" applyAlignment="1">
      <alignment horizontal="center"/>
    </xf>
    <xf numFmtId="49" fontId="31" fillId="16" borderId="12" xfId="0" applyNumberFormat="1" applyFont="1" applyFill="1" applyBorder="1" applyAlignment="1">
      <alignment horizontal="center"/>
    </xf>
    <xf numFmtId="49" fontId="29" fillId="10" borderId="3" xfId="0" applyNumberFormat="1" applyFont="1" applyFill="1" applyBorder="1" applyAlignment="1">
      <alignment horizontal="center"/>
    </xf>
    <xf numFmtId="49" fontId="29" fillId="17" borderId="2" xfId="0" applyNumberFormat="1" applyFont="1" applyFill="1" applyBorder="1" applyAlignment="1">
      <alignment horizontal="center"/>
    </xf>
    <xf numFmtId="49" fontId="32" fillId="36" borderId="0" xfId="0" applyNumberFormat="1" applyFont="1" applyFill="1" applyAlignment="1">
      <alignment horizontal="center"/>
    </xf>
    <xf numFmtId="49" fontId="32" fillId="42" borderId="0" xfId="0" applyNumberFormat="1" applyFont="1" applyFill="1" applyAlignment="1">
      <alignment horizontal="center"/>
    </xf>
    <xf numFmtId="49" fontId="31" fillId="18" borderId="12" xfId="0" applyNumberFormat="1" applyFont="1" applyFill="1" applyBorder="1" applyAlignment="1">
      <alignment horizontal="center"/>
    </xf>
    <xf numFmtId="49" fontId="29" fillId="13" borderId="3" xfId="0" applyNumberFormat="1" applyFont="1" applyFill="1" applyBorder="1" applyAlignment="1">
      <alignment horizontal="center"/>
    </xf>
    <xf numFmtId="49" fontId="29" fillId="19" borderId="2" xfId="0" applyNumberFormat="1" applyFont="1" applyFill="1" applyBorder="1" applyAlignment="1">
      <alignment horizontal="center"/>
    </xf>
    <xf numFmtId="49" fontId="29" fillId="31" borderId="0" xfId="0" applyNumberFormat="1" applyFont="1" applyFill="1" applyAlignment="1">
      <alignment horizontal="center"/>
    </xf>
    <xf numFmtId="49" fontId="32" fillId="37" borderId="0" xfId="0" applyNumberFormat="1" applyFont="1" applyFill="1" applyAlignment="1">
      <alignment horizontal="center"/>
    </xf>
    <xf numFmtId="49" fontId="32" fillId="43" borderId="0" xfId="0" applyNumberFormat="1" applyFont="1" applyFill="1" applyAlignment="1">
      <alignment horizontal="center"/>
    </xf>
    <xf numFmtId="49" fontId="29" fillId="14" borderId="3" xfId="0" applyNumberFormat="1" applyFont="1" applyFill="1" applyBorder="1" applyAlignment="1">
      <alignment horizontal="center"/>
    </xf>
    <xf numFmtId="49" fontId="29" fillId="28" borderId="2" xfId="0" applyNumberFormat="1" applyFont="1" applyFill="1" applyBorder="1" applyAlignment="1">
      <alignment horizontal="center"/>
    </xf>
    <xf numFmtId="49" fontId="29" fillId="32" borderId="0" xfId="0" applyNumberFormat="1" applyFont="1" applyFill="1" applyAlignment="1">
      <alignment horizontal="center"/>
    </xf>
    <xf numFmtId="49" fontId="32" fillId="38" borderId="0" xfId="0" applyNumberFormat="1" applyFont="1" applyFill="1" applyAlignment="1">
      <alignment horizontal="center"/>
    </xf>
    <xf numFmtId="49" fontId="32" fillId="44" borderId="0" xfId="0" applyNumberFormat="1" applyFont="1" applyFill="1" applyAlignment="1">
      <alignment horizontal="center"/>
    </xf>
    <xf numFmtId="49" fontId="29" fillId="12" borderId="3" xfId="0" applyNumberFormat="1" applyFont="1" applyFill="1" applyBorder="1" applyAlignment="1">
      <alignment horizontal="center"/>
    </xf>
    <xf numFmtId="49" fontId="29" fillId="21" borderId="2" xfId="0" applyNumberFormat="1" applyFont="1" applyFill="1" applyBorder="1" applyAlignment="1">
      <alignment horizontal="center"/>
    </xf>
    <xf numFmtId="49" fontId="29" fillId="33" borderId="0" xfId="0" applyNumberFormat="1" applyFont="1" applyFill="1" applyAlignment="1">
      <alignment horizontal="center"/>
    </xf>
    <xf numFmtId="49" fontId="32" fillId="39" borderId="0" xfId="0" applyNumberFormat="1" applyFont="1" applyFill="1" applyAlignment="1">
      <alignment horizontal="center"/>
    </xf>
    <xf numFmtId="49" fontId="32" fillId="45" borderId="0" xfId="0" applyNumberFormat="1" applyFont="1" applyFill="1" applyAlignment="1">
      <alignment horizontal="center"/>
    </xf>
    <xf numFmtId="49" fontId="31" fillId="22" borderId="12" xfId="0" applyNumberFormat="1" applyFont="1" applyFill="1" applyBorder="1" applyAlignment="1">
      <alignment horizontal="center"/>
    </xf>
    <xf numFmtId="49" fontId="29" fillId="24" borderId="3" xfId="0" applyNumberFormat="1" applyFont="1" applyFill="1" applyBorder="1" applyAlignment="1">
      <alignment horizontal="center"/>
    </xf>
    <xf numFmtId="49" fontId="29" fillId="23" borderId="2" xfId="0" applyNumberFormat="1" applyFont="1" applyFill="1" applyBorder="1" applyAlignment="1">
      <alignment horizontal="center"/>
    </xf>
    <xf numFmtId="49" fontId="29" fillId="34" borderId="0" xfId="0" applyNumberFormat="1" applyFont="1" applyFill="1" applyAlignment="1">
      <alignment horizontal="center"/>
    </xf>
    <xf numFmtId="49" fontId="32" fillId="40" borderId="0" xfId="0" applyNumberFormat="1" applyFont="1" applyFill="1" applyAlignment="1">
      <alignment horizontal="center"/>
    </xf>
    <xf numFmtId="49" fontId="32" fillId="46" borderId="0" xfId="0" applyNumberFormat="1" applyFont="1" applyFill="1" applyAlignment="1">
      <alignment horizontal="center"/>
    </xf>
    <xf numFmtId="49" fontId="31" fillId="25" borderId="12" xfId="0" applyNumberFormat="1" applyFont="1" applyFill="1" applyBorder="1" applyAlignment="1">
      <alignment horizontal="center"/>
    </xf>
    <xf numFmtId="49" fontId="29" fillId="11" borderId="3" xfId="0" applyNumberFormat="1" applyFont="1" applyFill="1" applyBorder="1" applyAlignment="1">
      <alignment horizontal="center"/>
    </xf>
    <xf numFmtId="49" fontId="29" fillId="26" borderId="2" xfId="0" applyNumberFormat="1" applyFont="1" applyFill="1" applyBorder="1" applyAlignment="1">
      <alignment horizontal="center"/>
    </xf>
    <xf numFmtId="49" fontId="29" fillId="35" borderId="0" xfId="0" applyNumberFormat="1" applyFont="1" applyFill="1" applyAlignment="1">
      <alignment horizontal="center"/>
    </xf>
    <xf numFmtId="49" fontId="32" fillId="41" borderId="0" xfId="0" applyNumberFormat="1" applyFont="1" applyFill="1" applyAlignment="1">
      <alignment horizontal="center"/>
    </xf>
    <xf numFmtId="49" fontId="32" fillId="47" borderId="0" xfId="0" applyNumberFormat="1" applyFont="1" applyFill="1" applyAlignment="1">
      <alignment horizontal="center"/>
    </xf>
    <xf numFmtId="49" fontId="32" fillId="78" borderId="10" xfId="0" quotePrefix="1" applyNumberFormat="1" applyFont="1" applyFill="1" applyBorder="1" applyAlignment="1">
      <alignment horizontal="center"/>
    </xf>
    <xf numFmtId="49" fontId="29" fillId="66" borderId="0" xfId="0" applyNumberFormat="1" applyFont="1" applyFill="1" applyAlignment="1">
      <alignment horizontal="center"/>
    </xf>
    <xf numFmtId="49" fontId="29" fillId="67" borderId="0" xfId="0" applyNumberFormat="1" applyFont="1" applyFill="1" applyAlignment="1">
      <alignment horizontal="center"/>
    </xf>
    <xf numFmtId="49" fontId="29" fillId="68" borderId="0" xfId="0" applyNumberFormat="1" applyFont="1" applyFill="1" applyAlignment="1">
      <alignment horizontal="center"/>
    </xf>
    <xf numFmtId="49" fontId="32" fillId="70" borderId="0" xfId="0" applyNumberFormat="1" applyFont="1" applyFill="1" applyAlignment="1">
      <alignment horizontal="center"/>
    </xf>
    <xf numFmtId="49" fontId="32" fillId="69" borderId="0" xfId="0" applyNumberFormat="1" applyFont="1" applyFill="1" applyAlignment="1">
      <alignment horizontal="center"/>
    </xf>
    <xf numFmtId="49" fontId="29" fillId="73" borderId="0" xfId="0" applyNumberFormat="1" applyFont="1" applyFill="1" applyAlignment="1">
      <alignment horizontal="center"/>
    </xf>
    <xf numFmtId="49" fontId="29" fillId="75" borderId="0" xfId="0" applyNumberFormat="1" applyFont="1" applyFill="1" applyAlignment="1">
      <alignment horizontal="center"/>
    </xf>
    <xf numFmtId="49" fontId="29" fillId="74" borderId="0" xfId="0" applyNumberFormat="1" applyFont="1" applyFill="1" applyAlignment="1">
      <alignment horizontal="center"/>
    </xf>
    <xf numFmtId="49" fontId="32" fillId="77" borderId="0" xfId="0" applyNumberFormat="1" applyFont="1" applyFill="1" applyAlignment="1">
      <alignment horizontal="center"/>
    </xf>
    <xf numFmtId="49" fontId="32" fillId="76" borderId="0" xfId="0" applyNumberFormat="1" applyFont="1" applyFill="1" applyAlignment="1">
      <alignment horizontal="center"/>
    </xf>
    <xf numFmtId="0" fontId="33" fillId="27" borderId="11" xfId="0" applyFont="1" applyFill="1" applyBorder="1" applyAlignment="1">
      <alignment horizontal="center"/>
    </xf>
    <xf numFmtId="0" fontId="33" fillId="27" borderId="1" xfId="0" applyFont="1" applyFill="1" applyBorder="1" applyAlignment="1">
      <alignment horizontal="center"/>
    </xf>
    <xf numFmtId="49" fontId="33" fillId="27" borderId="12" xfId="0" applyNumberFormat="1" applyFont="1" applyFill="1" applyBorder="1" applyAlignment="1">
      <alignment horizontal="center"/>
    </xf>
    <xf numFmtId="0" fontId="33" fillId="20" borderId="11" xfId="0" applyFont="1" applyFill="1" applyBorder="1" applyAlignment="1">
      <alignment horizontal="center"/>
    </xf>
    <xf numFmtId="0" fontId="33" fillId="20" borderId="1" xfId="0" applyFont="1" applyFill="1" applyBorder="1" applyAlignment="1">
      <alignment horizontal="center"/>
    </xf>
    <xf numFmtId="49" fontId="33" fillId="20" borderId="12" xfId="0" applyNumberFormat="1" applyFont="1" applyFill="1" applyBorder="1" applyAlignment="1">
      <alignment horizontal="center"/>
    </xf>
    <xf numFmtId="0" fontId="34" fillId="0" borderId="0" xfId="0" applyFont="1"/>
    <xf numFmtId="0" fontId="34" fillId="72" borderId="13" xfId="0" applyFont="1" applyFill="1" applyBorder="1" applyAlignment="1">
      <alignment horizontal="center"/>
    </xf>
    <xf numFmtId="0" fontId="34" fillId="72" borderId="14" xfId="0" applyFont="1" applyFill="1" applyBorder="1" applyAlignment="1">
      <alignment horizontal="center"/>
    </xf>
    <xf numFmtId="49" fontId="35" fillId="60" borderId="0" xfId="0" applyNumberFormat="1" applyFont="1" applyFill="1" applyAlignment="1">
      <alignment horizontal="center"/>
    </xf>
    <xf numFmtId="49" fontId="36" fillId="30" borderId="0" xfId="0" applyNumberFormat="1" applyFont="1" applyFill="1" applyAlignment="1">
      <alignment horizontal="center"/>
    </xf>
    <xf numFmtId="49" fontId="36" fillId="61" borderId="0" xfId="0" applyNumberFormat="1" applyFont="1" applyFill="1" applyAlignment="1">
      <alignment horizontal="center"/>
    </xf>
    <xf numFmtId="49" fontId="36" fillId="62" borderId="0" xfId="0" applyNumberFormat="1" applyFont="1" applyFill="1" applyAlignment="1">
      <alignment horizontal="center"/>
    </xf>
    <xf numFmtId="49" fontId="36" fillId="64" borderId="0" xfId="0" applyNumberFormat="1" applyFont="1" applyFill="1" applyAlignment="1">
      <alignment horizontal="center"/>
    </xf>
    <xf numFmtId="49" fontId="37" fillId="72" borderId="15" xfId="0" applyNumberFormat="1" applyFont="1" applyFill="1" applyBorder="1" applyAlignment="1">
      <alignment horizontal="center"/>
    </xf>
    <xf numFmtId="0" fontId="38" fillId="0" borderId="0" xfId="0" applyFont="1" applyAlignment="1">
      <alignment horizontal="left" vertical="center"/>
    </xf>
    <xf numFmtId="0" fontId="40" fillId="0" borderId="0" xfId="4" applyAlignment="1">
      <alignment horizontal="left" vertical="center"/>
    </xf>
    <xf numFmtId="0" fontId="2" fillId="90" borderId="0" xfId="0" applyFont="1" applyFill="1" applyAlignment="1">
      <alignment horizontal="right" vertical="center"/>
    </xf>
    <xf numFmtId="0" fontId="41" fillId="0" borderId="0" xfId="0" applyFont="1"/>
    <xf numFmtId="0" fontId="41" fillId="0" borderId="0" xfId="0" applyFont="1" applyAlignment="1">
      <alignment horizontal="right"/>
    </xf>
    <xf numFmtId="0" fontId="41" fillId="0" borderId="0" xfId="0" applyFont="1" applyAlignment="1">
      <alignment horizontal="center"/>
    </xf>
    <xf numFmtId="0" fontId="41" fillId="88" borderId="0" xfId="0" applyFont="1" applyFill="1"/>
    <xf numFmtId="0" fontId="43" fillId="0" borderId="0" xfId="0" applyFont="1" applyAlignment="1">
      <alignment horizontal="left" vertical="center"/>
    </xf>
    <xf numFmtId="0" fontId="44" fillId="3" borderId="0" xfId="0" applyFont="1" applyFill="1" applyAlignment="1">
      <alignment horizontal="left" vertical="center"/>
    </xf>
    <xf numFmtId="0" fontId="44" fillId="86" borderId="0" xfId="0" applyFont="1" applyFill="1" applyAlignment="1">
      <alignment horizontal="left" vertical="center"/>
    </xf>
    <xf numFmtId="0" fontId="45" fillId="86" borderId="0" xfId="0" applyFont="1" applyFill="1" applyAlignment="1">
      <alignment horizontal="right" vertical="center"/>
    </xf>
    <xf numFmtId="0" fontId="45" fillId="91" borderId="17" xfId="0" applyFont="1" applyFill="1" applyBorder="1" applyAlignment="1">
      <alignment horizontal="left" vertical="center"/>
    </xf>
    <xf numFmtId="0" fontId="45" fillId="91" borderId="0" xfId="0" applyFont="1" applyFill="1" applyAlignment="1">
      <alignment horizontal="right" vertical="center"/>
    </xf>
    <xf numFmtId="0" fontId="45" fillId="3" borderId="16" xfId="0" applyFont="1" applyFill="1" applyBorder="1" applyAlignment="1">
      <alignment horizontal="left" vertical="center"/>
    </xf>
    <xf numFmtId="0" fontId="45" fillId="3" borderId="16" xfId="0" applyFont="1" applyFill="1" applyBorder="1" applyAlignment="1">
      <alignment horizontal="right" vertical="center"/>
    </xf>
    <xf numFmtId="0" fontId="45" fillId="3" borderId="16" xfId="0" applyFont="1" applyFill="1" applyBorder="1" applyAlignment="1">
      <alignment vertical="center"/>
    </xf>
    <xf numFmtId="0" fontId="46" fillId="81" borderId="0" xfId="0" applyFont="1" applyFill="1" applyAlignment="1">
      <alignment horizontal="right" vertical="center"/>
    </xf>
    <xf numFmtId="0" fontId="43" fillId="0" borderId="0" xfId="0" applyFont="1" applyAlignment="1">
      <alignment horizontal="right" vertical="center"/>
    </xf>
    <xf numFmtId="0" fontId="43" fillId="0" borderId="0" xfId="0" applyFont="1" applyAlignment="1">
      <alignment horizontal="center" vertical="center"/>
    </xf>
    <xf numFmtId="0" fontId="46" fillId="85" borderId="0" xfId="0" applyFont="1" applyFill="1" applyAlignment="1">
      <alignment horizontal="right" vertical="center"/>
    </xf>
    <xf numFmtId="0" fontId="47" fillId="0" borderId="0" xfId="0" applyFont="1" applyAlignment="1">
      <alignment horizontal="right" vertical="center"/>
    </xf>
    <xf numFmtId="0" fontId="45" fillId="91" borderId="16" xfId="0" applyFont="1" applyFill="1" applyBorder="1" applyAlignment="1">
      <alignment horizontal="left" vertical="center"/>
    </xf>
    <xf numFmtId="0" fontId="48" fillId="0" borderId="0" xfId="0" applyFont="1"/>
    <xf numFmtId="0" fontId="49" fillId="0" borderId="0" xfId="0" applyFont="1"/>
    <xf numFmtId="0" fontId="45" fillId="92" borderId="16" xfId="0" applyFont="1" applyFill="1" applyBorder="1" applyAlignment="1">
      <alignment horizontal="left" vertical="center"/>
    </xf>
    <xf numFmtId="0" fontId="46" fillId="82" borderId="0" xfId="0" applyFont="1" applyFill="1" applyAlignment="1">
      <alignment horizontal="right" vertical="center"/>
    </xf>
    <xf numFmtId="0" fontId="50" fillId="89" borderId="18" xfId="3" applyFont="1" applyAlignment="1">
      <alignment horizontal="center" vertical="center" wrapText="1"/>
    </xf>
    <xf numFmtId="0" fontId="50" fillId="89" borderId="18" xfId="3" applyFont="1" applyAlignment="1">
      <alignment vertical="center" wrapText="1"/>
    </xf>
    <xf numFmtId="0" fontId="51" fillId="8" borderId="0" xfId="1" applyFont="1" applyAlignment="1">
      <alignment horizontal="center" vertical="center" wrapText="1"/>
    </xf>
    <xf numFmtId="0" fontId="51" fillId="8" borderId="0" xfId="1" applyFont="1" applyAlignment="1">
      <alignment vertical="center" wrapText="1"/>
    </xf>
    <xf numFmtId="0" fontId="45" fillId="93" borderId="16" xfId="0" applyFont="1" applyFill="1" applyBorder="1" applyAlignment="1">
      <alignment horizontal="left" vertical="center"/>
    </xf>
    <xf numFmtId="0" fontId="45" fillId="95" borderId="16" xfId="0" applyFont="1" applyFill="1" applyBorder="1" applyAlignment="1">
      <alignment horizontal="left" vertical="center"/>
    </xf>
    <xf numFmtId="0" fontId="46" fillId="83" borderId="0" xfId="0" applyFont="1" applyFill="1" applyAlignment="1">
      <alignment horizontal="right" vertical="center"/>
    </xf>
    <xf numFmtId="0" fontId="51" fillId="8" borderId="0" xfId="1" applyFont="1"/>
    <xf numFmtId="0" fontId="45" fillId="94" borderId="16" xfId="0" applyFont="1" applyFill="1" applyBorder="1" applyAlignment="1">
      <alignment horizontal="left" vertical="center"/>
    </xf>
    <xf numFmtId="0" fontId="46" fillId="84" borderId="0" xfId="0" applyFont="1" applyFill="1" applyAlignment="1">
      <alignment horizontal="right" vertical="center"/>
    </xf>
    <xf numFmtId="0" fontId="52" fillId="87" borderId="19" xfId="0" applyFont="1" applyFill="1" applyBorder="1" applyAlignment="1">
      <alignment horizontal="left" vertical="center"/>
    </xf>
    <xf numFmtId="0" fontId="41" fillId="0" borderId="19" xfId="0" applyFont="1" applyBorder="1"/>
    <xf numFmtId="0" fontId="53" fillId="0" borderId="19" xfId="0" applyFont="1" applyBorder="1" applyAlignment="1">
      <alignment horizontal="right"/>
    </xf>
    <xf numFmtId="0" fontId="54" fillId="0" borderId="19" xfId="0" applyFont="1" applyBorder="1" applyAlignment="1">
      <alignment horizontal="right"/>
    </xf>
    <xf numFmtId="0" fontId="54" fillId="0" borderId="19" xfId="0" applyFont="1" applyBorder="1" applyAlignment="1">
      <alignment horizontal="center"/>
    </xf>
    <xf numFmtId="0" fontId="45" fillId="3" borderId="0" xfId="0" applyFont="1" applyFill="1" applyAlignment="1">
      <alignment horizontal="left" vertical="center"/>
    </xf>
    <xf numFmtId="0" fontId="55" fillId="0" borderId="0" xfId="0" applyFont="1"/>
    <xf numFmtId="9" fontId="41" fillId="0" borderId="0" xfId="0" applyNumberFormat="1" applyFont="1"/>
    <xf numFmtId="0" fontId="2" fillId="12" borderId="20" xfId="0" applyFont="1" applyFill="1" applyBorder="1" applyAlignment="1">
      <alignment horizontal="left" vertical="center"/>
    </xf>
    <xf numFmtId="0" fontId="2" fillId="0" borderId="20" xfId="0" applyFont="1" applyBorder="1" applyAlignment="1">
      <alignment horizontal="left" vertical="center"/>
    </xf>
    <xf numFmtId="0" fontId="56" fillId="96" borderId="0" xfId="5"/>
    <xf numFmtId="0" fontId="56" fillId="96" borderId="0" xfId="5" applyAlignment="1">
      <alignment horizontal="left"/>
    </xf>
    <xf numFmtId="0" fontId="56" fillId="96" borderId="0" xfId="5" applyAlignment="1">
      <alignment horizontal="right"/>
    </xf>
    <xf numFmtId="0" fontId="41" fillId="0" borderId="0" xfId="0" applyFont="1" applyAlignment="1">
      <alignment horizontal="right"/>
    </xf>
    <xf numFmtId="0" fontId="43" fillId="88" borderId="0" xfId="0" applyFont="1" applyFill="1" applyAlignment="1">
      <alignment horizontal="left" vertical="top" wrapText="1"/>
    </xf>
    <xf numFmtId="0" fontId="42" fillId="0" borderId="0" xfId="0" applyFont="1" applyAlignment="1">
      <alignment horizontal="center" vertical="center"/>
    </xf>
    <xf numFmtId="0" fontId="26" fillId="9" borderId="0" xfId="2"/>
    <xf numFmtId="0" fontId="1" fillId="0" borderId="0" xfId="0" quotePrefix="1" applyFont="1" applyAlignment="1">
      <alignment horizontal="left" vertical="center"/>
    </xf>
  </cellXfs>
  <cellStyles count="6">
    <cellStyle name="Bad" xfId="2" builtinId="27"/>
    <cellStyle name="Calculation" xfId="3" builtinId="22"/>
    <cellStyle name="Good" xfId="1" builtinId="26"/>
    <cellStyle name="Hyperlink" xfId="4" builtinId="8"/>
    <cellStyle name="Neutral" xfId="5" builtinId="28"/>
    <cellStyle name="Normal" xfId="0" builtinId="0"/>
  </cellStyles>
  <dxfs count="18">
    <dxf>
      <font>
        <b val="0"/>
        <i val="0"/>
        <strike val="0"/>
        <condense val="0"/>
        <extend val="0"/>
        <outline val="0"/>
        <shadow val="0"/>
        <u val="none"/>
        <vertAlign val="baseline"/>
        <sz val="11"/>
        <color theme="1"/>
        <name val="DejaVu Sans Mono"/>
        <family val="3"/>
        <scheme val="none"/>
      </font>
    </dxf>
    <dxf>
      <font>
        <b val="0"/>
        <i val="0"/>
        <strike val="0"/>
        <condense val="0"/>
        <extend val="0"/>
        <outline val="0"/>
        <shadow val="0"/>
        <u val="none"/>
        <vertAlign val="baseline"/>
        <sz val="11"/>
        <color rgb="FF000000"/>
        <name val="DejaVu Sans Mono"/>
        <family val="3"/>
        <scheme val="none"/>
      </font>
    </dxf>
    <dxf>
      <font>
        <b val="0"/>
        <i val="0"/>
        <strike val="0"/>
        <condense val="0"/>
        <extend val="0"/>
        <outline val="0"/>
        <shadow val="0"/>
        <u val="none"/>
        <vertAlign val="baseline"/>
        <sz val="11"/>
        <color theme="1"/>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s>
  <tableStyles count="0" defaultTableStyle="TableStyleMedium9" defaultPivotStyle="PivotStyleLight16"/>
  <colors>
    <mruColors>
      <color rgb="FF4169E1"/>
      <color rgb="FF2C763E"/>
      <color rgb="FF1D4B28"/>
      <color rgb="FF3C9E53"/>
      <color rgb="FFB6E4C1"/>
      <color rgb="FF8AD29B"/>
      <color rgb="FFD5EFDB"/>
      <color rgb="FFA9DFB6"/>
      <color rgb="FF98D8A7"/>
      <color rgb="FF57BF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622300</xdr:colOff>
      <xdr:row>0</xdr:row>
      <xdr:rowOff>57150</xdr:rowOff>
    </xdr:from>
    <xdr:to>
      <xdr:col>7</xdr:col>
      <xdr:colOff>552450</xdr:colOff>
      <xdr:row>1</xdr:row>
      <xdr:rowOff>152719</xdr:rowOff>
    </xdr:to>
    <xdr:pic>
      <xdr:nvPicPr>
        <xdr:cNvPr id="6" name="Picture 5">
          <a:extLst>
            <a:ext uri="{FF2B5EF4-FFF2-40B4-BE49-F238E27FC236}">
              <a16:creationId xmlns:a16="http://schemas.microsoft.com/office/drawing/2014/main" id="{B726C4F3-DE6D-3F0F-8BC8-8BCC5BB95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2700" y="57150"/>
          <a:ext cx="7772400" cy="11369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207347</xdr:colOff>
      <xdr:row>0</xdr:row>
      <xdr:rowOff>116633</xdr:rowOff>
    </xdr:from>
    <xdr:to>
      <xdr:col>0</xdr:col>
      <xdr:colOff>3565569</xdr:colOff>
      <xdr:row>14</xdr:row>
      <xdr:rowOff>97713</xdr:rowOff>
    </xdr:to>
    <xdr:pic>
      <xdr:nvPicPr>
        <xdr:cNvPr id="20" name="Picture 19">
          <a:extLst>
            <a:ext uri="{FF2B5EF4-FFF2-40B4-BE49-F238E27FC236}">
              <a16:creationId xmlns:a16="http://schemas.microsoft.com/office/drawing/2014/main" id="{8E1F4FE5-231C-4FAC-9C0A-346A36CD9B3A}"/>
            </a:ext>
          </a:extLst>
        </xdr:cNvPr>
        <xdr:cNvPicPr>
          <a:picLocks noChangeAspect="1"/>
        </xdr:cNvPicPr>
      </xdr:nvPicPr>
      <xdr:blipFill>
        <a:blip xmlns:r="http://schemas.openxmlformats.org/officeDocument/2006/relationships" r:embed="rId1"/>
        <a:stretch>
          <a:fillRect/>
        </a:stretch>
      </xdr:blipFill>
      <xdr:spPr>
        <a:xfrm>
          <a:off x="207347" y="116633"/>
          <a:ext cx="3358222" cy="25210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139701</xdr:colOff>
      <xdr:row>0</xdr:row>
      <xdr:rowOff>57150</xdr:rowOff>
    </xdr:from>
    <xdr:to>
      <xdr:col>6</xdr:col>
      <xdr:colOff>325406</xdr:colOff>
      <xdr:row>17</xdr:row>
      <xdr:rowOff>146868</xdr:rowOff>
    </xdr:to>
    <xdr:pic>
      <xdr:nvPicPr>
        <xdr:cNvPr id="2" name="Picture 1">
          <a:extLst>
            <a:ext uri="{FF2B5EF4-FFF2-40B4-BE49-F238E27FC236}">
              <a16:creationId xmlns:a16="http://schemas.microsoft.com/office/drawing/2014/main" id="{32165F34-6091-4870-98BE-AEE2AADC02AE}"/>
            </a:ext>
          </a:extLst>
        </xdr:cNvPr>
        <xdr:cNvPicPr>
          <a:picLocks noChangeAspect="1"/>
        </xdr:cNvPicPr>
      </xdr:nvPicPr>
      <xdr:blipFill>
        <a:blip xmlns:r="http://schemas.openxmlformats.org/officeDocument/2006/relationships" r:embed="rId1"/>
        <a:stretch>
          <a:fillRect/>
        </a:stretch>
      </xdr:blipFill>
      <xdr:spPr>
        <a:xfrm>
          <a:off x="5372101" y="57150"/>
          <a:ext cx="2540000" cy="3307353"/>
        </a:xfrm>
        <a:prstGeom prst="rect">
          <a:avLst/>
        </a:prstGeom>
        <a:solidFill>
          <a:srgbClr val="D5EFDB"/>
        </a:solidFill>
      </xdr:spPr>
    </xdr:pic>
    <xdr:clientData/>
  </xdr:twoCellAnchor>
  <xdr:twoCellAnchor editAs="oneCell">
    <xdr:from>
      <xdr:col>0</xdr:col>
      <xdr:colOff>101601</xdr:colOff>
      <xdr:row>0</xdr:row>
      <xdr:rowOff>76201</xdr:rowOff>
    </xdr:from>
    <xdr:to>
      <xdr:col>0</xdr:col>
      <xdr:colOff>3459823</xdr:colOff>
      <xdr:row>13</xdr:row>
      <xdr:rowOff>147995</xdr:rowOff>
    </xdr:to>
    <xdr:pic>
      <xdr:nvPicPr>
        <xdr:cNvPr id="3" name="Picture 2">
          <a:extLst>
            <a:ext uri="{FF2B5EF4-FFF2-40B4-BE49-F238E27FC236}">
              <a16:creationId xmlns:a16="http://schemas.microsoft.com/office/drawing/2014/main" id="{07CE3F4D-C955-4E0B-857D-22EA87E1C3F5}"/>
            </a:ext>
          </a:extLst>
        </xdr:cNvPr>
        <xdr:cNvPicPr>
          <a:picLocks noChangeAspect="1"/>
        </xdr:cNvPicPr>
      </xdr:nvPicPr>
      <xdr:blipFill>
        <a:blip xmlns:r="http://schemas.openxmlformats.org/officeDocument/2006/relationships" r:embed="rId2"/>
        <a:stretch>
          <a:fillRect/>
        </a:stretch>
      </xdr:blipFill>
      <xdr:spPr>
        <a:xfrm>
          <a:off x="101601" y="76201"/>
          <a:ext cx="3358222" cy="2559050"/>
        </a:xfrm>
        <a:prstGeom prst="rect">
          <a:avLst/>
        </a:prstGeom>
      </xdr:spPr>
    </xdr:pic>
    <xdr:clientData/>
  </xdr:twoCellAnchor>
  <xdr:twoCellAnchor editAs="oneCell">
    <xdr:from>
      <xdr:col>19</xdr:col>
      <xdr:colOff>95251</xdr:colOff>
      <xdr:row>16</xdr:row>
      <xdr:rowOff>101600</xdr:rowOff>
    </xdr:from>
    <xdr:to>
      <xdr:col>25</xdr:col>
      <xdr:colOff>917310</xdr:colOff>
      <xdr:row>30</xdr:row>
      <xdr:rowOff>101858</xdr:rowOff>
    </xdr:to>
    <xdr:pic>
      <xdr:nvPicPr>
        <xdr:cNvPr id="4" name="Picture 3">
          <a:extLst>
            <a:ext uri="{FF2B5EF4-FFF2-40B4-BE49-F238E27FC236}">
              <a16:creationId xmlns:a16="http://schemas.microsoft.com/office/drawing/2014/main" id="{4F3EBBFF-C059-46F7-9D2E-632A1AEAE54E}"/>
            </a:ext>
          </a:extLst>
        </xdr:cNvPr>
        <xdr:cNvPicPr>
          <a:picLocks noChangeAspect="1"/>
        </xdr:cNvPicPr>
      </xdr:nvPicPr>
      <xdr:blipFill>
        <a:blip xmlns:r="http://schemas.openxmlformats.org/officeDocument/2006/relationships" r:embed="rId3"/>
        <a:stretch>
          <a:fillRect/>
        </a:stretch>
      </xdr:blipFill>
      <xdr:spPr>
        <a:xfrm>
          <a:off x="17945101" y="3041650"/>
          <a:ext cx="5147316" cy="277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summ" displayName="tbl_summ" ref="H21:L139">
  <autoFilter ref="H21:L139" xr:uid="{00000000-0009-0000-0100-000001000000}"/>
  <tableColumns count="5">
    <tableColumn id="10" xr3:uid="{00000000-0010-0000-0000-00000A000000}" name="RowId"/>
    <tableColumn id="11" xr3:uid="{00000000-0010-0000-0000-00000B000000}" name="Property"/>
    <tableColumn id="12" xr3:uid="{00000000-0010-0000-0000-00000C000000}" name="Values"/>
    <tableColumn id="13" xr3:uid="{00000000-0010-0000-0000-00000D000000}" name="Files"/>
    <tableColumn id="14" xr3:uid="{00000000-0010-0000-0000-00000E000000}" name="IsVisible">
      <calculatedColumnFormula>SUBTOTAL(3,_xlfn.SINGLE(tbl_summ[RowId]))</calculatedColumnFormula>
    </tableColumn>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7E6C7EB-8421-4C80-8B57-D2385732393A}" name="Table102329" displayName="Table102329" ref="I16:I18" totalsRowShown="0" headerRowDxfId="17" dataDxfId="16">
  <autoFilter ref="I16:I18" xr:uid="{786D56B1-6291-47E0-89E3-B4CB44A39F75}"/>
  <tableColumns count="1">
    <tableColumn id="1" xr3:uid="{A2F11617-AFAB-42E8-B500-237D676725C8}" name="Column1" dataDxfId="15"/>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43E329A-DBC5-4E05-A229-7DB66F5F32EC}" name="Table112430" displayName="Table112430" ref="J16:J18" totalsRowShown="0" headerRowDxfId="14" dataDxfId="13">
  <autoFilter ref="J16:J18" xr:uid="{AC7D2002-58F3-43B4-A1FF-836B99381CDC}"/>
  <tableColumns count="1">
    <tableColumn id="1" xr3:uid="{8EF89E9D-6242-42E6-B054-0CD0EB0555A9}" name="Column1" dataDxfId="12"/>
  </tableColumns>
  <tableStyleInfo name="TableStyleMedium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0E4AB26-17F7-4A75-A249-84DC8EEAC594}" name="Table122531" displayName="Table122531" ref="L16:L18" totalsRowShown="0" headerRowDxfId="11" dataDxfId="10">
  <autoFilter ref="L16:L18" xr:uid="{082A9962-B3F2-4337-939D-0C7C25BA3ACA}"/>
  <tableColumns count="1">
    <tableColumn id="1" xr3:uid="{8B15CC40-1060-4A84-A623-8A5439A48D6C}" name="Column1" dataDxfId="9"/>
  </tableColumns>
  <tableStyleInfo name="TableStyleMedium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A166535-6813-49FE-A8BE-5AA28368109F}" name="Table132632" displayName="Table132632" ref="M16:M18" totalsRowShown="0" headerRowDxfId="8" dataDxfId="7">
  <autoFilter ref="M16:M18" xr:uid="{F4FFE1A7-D016-4504-9812-B2767F062F70}"/>
  <tableColumns count="1">
    <tableColumn id="1" xr3:uid="{B080F23F-CEE1-46BB-9C5F-0B01AC89D7C3}" name="Column1" dataDxfId="6"/>
  </tableColumns>
  <tableStyleInfo name="TableStyleMedium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E48ACC5-EA16-4212-A3A9-BEBCDB553DCB}" name="Table142733" displayName="Table142733" ref="N16:N18" totalsRowShown="0" headerRowDxfId="5" dataDxfId="4">
  <autoFilter ref="N16:N18" xr:uid="{4957479D-3A30-45C7-9D30-3D0B722DD09E}"/>
  <tableColumns count="1">
    <tableColumn id="1" xr3:uid="{3CAA41CB-FDCF-4B6A-BC4D-73BA48812DD4}" name="Column1" dataDxfId="3"/>
  </tableColumns>
  <tableStyleInfo name="TableStyleMedium1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25A98DC-7066-4AF5-9188-638275D88CBF}" name="Table152834" displayName="Table152834" ref="K16:K18" totalsRowShown="0" headerRowDxfId="2" dataDxfId="1">
  <autoFilter ref="K16:K18" xr:uid="{403AF661-2844-4989-8352-7E4D455A1707}"/>
  <tableColumns count="1">
    <tableColumn id="1" xr3:uid="{AB3EBBC0-ED6C-4BE9-A519-FDF64C3EBA96}" name="Column1" dataDxfId="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pros" displayName="tbl_pros" ref="J10:AR1168">
  <autoFilter ref="J10:AR1168" xr:uid="{00000000-0009-0000-0100-000002000000}"/>
  <tableColumns count="35">
    <tableColumn id="10" xr3:uid="{00000000-0010-0000-0100-00000A000000}" name="RowId"/>
    <tableColumn id="11" xr3:uid="{00000000-0010-0000-0100-00000B000000}" name="Properties"/>
    <tableColumn id="12" xr3:uid="{00000000-0010-0000-0100-00000C000000}" name="Values"/>
    <tableColumn id="13" xr3:uid="{00000000-0010-0000-0100-00000D000000}" name="Files"/>
    <tableColumn id="14" xr3:uid="{00000000-0010-0000-0100-00000E000000}" name="P-V Index"/>
    <tableColumn id="15" xr3:uid="{00000000-0010-0000-0100-00000F000000}" name="File01"/>
    <tableColumn id="16" xr3:uid="{00000000-0010-0000-0100-000010000000}" name="S1  "/>
    <tableColumn id="17" xr3:uid="{00000000-0010-0000-0100-000011000000}" name="File02"/>
    <tableColumn id="18" xr3:uid="{00000000-0010-0000-0100-000012000000}" name="S2  "/>
    <tableColumn id="19" xr3:uid="{00000000-0010-0000-0100-000013000000}" name="File03"/>
    <tableColumn id="20" xr3:uid="{00000000-0010-0000-0100-000014000000}" name="S3  "/>
    <tableColumn id="21" xr3:uid="{00000000-0010-0000-0100-000015000000}" name="File04"/>
    <tableColumn id="22" xr3:uid="{00000000-0010-0000-0100-000016000000}" name="S4  "/>
    <tableColumn id="23" xr3:uid="{00000000-0010-0000-0100-000017000000}" name="File05"/>
    <tableColumn id="24" xr3:uid="{00000000-0010-0000-0100-000018000000}" name="S5  "/>
    <tableColumn id="25" xr3:uid="{00000000-0010-0000-0100-000019000000}" name="File06"/>
    <tableColumn id="26" xr3:uid="{00000000-0010-0000-0100-00001A000000}" name="S6  "/>
    <tableColumn id="27" xr3:uid="{00000000-0010-0000-0100-00001B000000}" name="File07"/>
    <tableColumn id="28" xr3:uid="{00000000-0010-0000-0100-00001C000000}" name="S7  "/>
    <tableColumn id="29" xr3:uid="{00000000-0010-0000-0100-00001D000000}" name="File08"/>
    <tableColumn id="30" xr3:uid="{00000000-0010-0000-0100-00001E000000}" name="S8  "/>
    <tableColumn id="31" xr3:uid="{00000000-0010-0000-0100-00001F000000}" name="File09"/>
    <tableColumn id="32" xr3:uid="{00000000-0010-0000-0100-000020000000}" name="S9  "/>
    <tableColumn id="33" xr3:uid="{00000000-0010-0000-0100-000021000000}" name="File10"/>
    <tableColumn id="34" xr3:uid="{00000000-0010-0000-0100-000022000000}" name="S10  "/>
    <tableColumn id="35" xr3:uid="{00000000-0010-0000-0100-000023000000}" name="File11"/>
    <tableColumn id="36" xr3:uid="{00000000-0010-0000-0100-000024000000}" name="S11  "/>
    <tableColumn id="37" xr3:uid="{00000000-0010-0000-0100-000025000000}" name="File12"/>
    <tableColumn id="38" xr3:uid="{00000000-0010-0000-0100-000026000000}" name="S12  "/>
    <tableColumn id="39" xr3:uid="{00000000-0010-0000-0100-000027000000}" name="File13"/>
    <tableColumn id="40" xr3:uid="{00000000-0010-0000-0100-000028000000}" name="S13  "/>
    <tableColumn id="41" xr3:uid="{00000000-0010-0000-0100-000029000000}" name="File14"/>
    <tableColumn id="42" xr3:uid="{00000000-0010-0000-0100-00002A000000}" name="S14  "/>
    <tableColumn id="43" xr3:uid="{00000000-0010-0000-0100-00002B000000}" name="File15"/>
    <tableColumn id="44" xr3:uid="{00000000-0010-0000-0100-00002C000000}" name="IsVisible"/>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ags" displayName="tbl_tags" ref="J10:AF394">
  <autoFilter ref="J10:AF394" xr:uid="{00000000-0009-0000-0100-000003000000}"/>
  <sortState xmlns:xlrd2="http://schemas.microsoft.com/office/spreadsheetml/2017/richdata2" ref="J11:AF394">
    <sortCondition ref="K10:K394"/>
  </sortState>
  <tableColumns count="23">
    <tableColumn id="10" xr3:uid="{00000000-0010-0000-0200-00000A000000}" name="RowId"/>
    <tableColumn id="11" xr3:uid="{00000000-0010-0000-0200-00000B000000}" name="Tags"/>
    <tableColumn id="12" xr3:uid="{00000000-0010-0000-0200-00000C000000}" name="Files"/>
    <tableColumn id="13" xr3:uid="{00000000-0010-0000-0200-00000D000000}" name="File01"/>
    <tableColumn id="14" xr3:uid="{00000000-0010-0000-0200-00000E000000}" name="S1  "/>
    <tableColumn id="15" xr3:uid="{00000000-0010-0000-0200-00000F000000}" name="File02"/>
    <tableColumn id="16" xr3:uid="{00000000-0010-0000-0200-000010000000}" name="S2  "/>
    <tableColumn id="17" xr3:uid="{00000000-0010-0000-0200-000011000000}" name="File03"/>
    <tableColumn id="18" xr3:uid="{00000000-0010-0000-0200-000012000000}" name="S3  "/>
    <tableColumn id="19" xr3:uid="{00000000-0010-0000-0200-000013000000}" name="File04"/>
    <tableColumn id="20" xr3:uid="{00000000-0010-0000-0200-000014000000}" name="S4  "/>
    <tableColumn id="21" xr3:uid="{00000000-0010-0000-0200-000015000000}" name="File05"/>
    <tableColumn id="22" xr3:uid="{00000000-0010-0000-0200-000016000000}" name="S5  "/>
    <tableColumn id="23" xr3:uid="{00000000-0010-0000-0200-000017000000}" name="File06"/>
    <tableColumn id="24" xr3:uid="{00000000-0010-0000-0200-000018000000}" name="S6  "/>
    <tableColumn id="25" xr3:uid="{00000000-0010-0000-0200-000019000000}" name="File07"/>
    <tableColumn id="26" xr3:uid="{00000000-0010-0000-0200-00001A000000}" name="S7  "/>
    <tableColumn id="27" xr3:uid="{00000000-0010-0000-0200-00001B000000}" name="File08"/>
    <tableColumn id="28" xr3:uid="{00000000-0010-0000-0200-00001C000000}" name="S8  "/>
    <tableColumn id="29" xr3:uid="{00000000-0010-0000-0200-00001D000000}" name="File09"/>
    <tableColumn id="30" xr3:uid="{00000000-0010-0000-0200-00001E000000}" name="S9  "/>
    <tableColumn id="31" xr3:uid="{00000000-0010-0000-0200-00001F000000}" name="File10"/>
    <tableColumn id="32" xr3:uid="{00000000-0010-0000-0200-000020000000}" name="IsVisible"/>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ile" displayName="tbl_file" ref="J10:R2810">
  <autoFilter ref="J10:R2810" xr:uid="{00000000-0009-0000-0100-000004000000}"/>
  <sortState xmlns:xlrd2="http://schemas.microsoft.com/office/spreadsheetml/2017/richdata2" ref="J11:R2810">
    <sortCondition ref="K10:K2810"/>
  </sortState>
  <tableColumns count="9">
    <tableColumn id="10" xr3:uid="{00000000-0010-0000-0300-00000A000000}" name="RowId"/>
    <tableColumn id="11" xr3:uid="{00000000-0010-0000-0300-00000B000000}" name="Notes"/>
    <tableColumn id="12" xr3:uid="{00000000-0010-0000-0300-00000C000000}" name="  spcr"/>
    <tableColumn id="13" xr3:uid="{00000000-0010-0000-0300-00000D000000}" name="Inline?"/>
    <tableColumn id="14" xr3:uid="{00000000-0010-0000-0300-00000E000000}" name="Property"/>
    <tableColumn id="15" xr3:uid="{00000000-0010-0000-0300-00000F000000}" name="CaseDiff"/>
    <tableColumn id="16" xr3:uid="{00000000-0010-0000-0300-000010000000}" name="ValCount"/>
    <tableColumn id="17" xr3:uid="{00000000-0010-0000-0300-000011000000}" name="Values (All)"/>
    <tableColumn id="18" xr3:uid="{00000000-0010-0000-0300-000012000000}" name="IsVisible"/>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code" displayName="tbl_code" ref="J10:AH813">
  <autoFilter ref="J10:AH813" xr:uid="{00000000-0009-0000-0100-000005000000}"/>
  <tableColumns count="25">
    <tableColumn id="10" xr3:uid="{00000000-0010-0000-0400-00000A000000}" name="RowId"/>
    <tableColumn id="11" xr3:uid="{00000000-0010-0000-0400-00000B000000}" name="Notes"/>
    <tableColumn id="12" xr3:uid="{00000000-0010-0000-0400-00000C000000}" name="PluginID"/>
    <tableColumn id="13" xr3:uid="{00000000-0010-0000-0400-00000D000000}" name="Signature"/>
    <tableColumn id="14" xr3:uid="{00000000-0010-0000-0400-00000E000000}" name="Count"/>
    <tableColumn id="15" xr3:uid="{00000000-0010-0000-0400-00000F000000}" name="CodeBlock-01"/>
    <tableColumn id="16" xr3:uid="{00000000-0010-0000-0400-000010000000}" name="S1  "/>
    <tableColumn id="17" xr3:uid="{00000000-0010-0000-0400-000011000000}" name="CodeBlock-02"/>
    <tableColumn id="18" xr3:uid="{00000000-0010-0000-0400-000012000000}" name="S2  "/>
    <tableColumn id="19" xr3:uid="{00000000-0010-0000-0400-000013000000}" name="CodeBlock-03"/>
    <tableColumn id="20" xr3:uid="{00000000-0010-0000-0400-000014000000}" name="S3  "/>
    <tableColumn id="21" xr3:uid="{00000000-0010-0000-0400-000015000000}" name="CodeBlock-04"/>
    <tableColumn id="22" xr3:uid="{00000000-0010-0000-0400-000016000000}" name="S4  "/>
    <tableColumn id="23" xr3:uid="{00000000-0010-0000-0400-000017000000}" name="CodeBlock-05"/>
    <tableColumn id="24" xr3:uid="{00000000-0010-0000-0400-000018000000}" name="S5  "/>
    <tableColumn id="25" xr3:uid="{00000000-0010-0000-0400-000019000000}" name="CodeBlock-06"/>
    <tableColumn id="26" xr3:uid="{00000000-0010-0000-0400-00001A000000}" name="S6  "/>
    <tableColumn id="27" xr3:uid="{00000000-0010-0000-0400-00001B000000}" name="CodeBlock-07"/>
    <tableColumn id="28" xr3:uid="{00000000-0010-0000-0400-00001C000000}" name="S7  "/>
    <tableColumn id="29" xr3:uid="{00000000-0010-0000-0400-00001D000000}" name="CodeBlock-08"/>
    <tableColumn id="30" xr3:uid="{00000000-0010-0000-0400-00001E000000}" name="S8  "/>
    <tableColumn id="31" xr3:uid="{00000000-0010-0000-0400-00001F000000}" name="CodeBlock-09"/>
    <tableColumn id="32" xr3:uid="{00000000-0010-0000-0400-000020000000}" name="S9  "/>
    <tableColumn id="33" xr3:uid="{00000000-0010-0000-0400-000021000000}" name="CodeBlock-10"/>
    <tableColumn id="34" xr3:uid="{00000000-0010-0000-0400-000022000000}" name="IsVisibl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bl_xyml" displayName="tbl_xyml" ref="J10:L61">
  <autoFilter ref="J10:L61" xr:uid="{00000000-0009-0000-0100-000006000000}"/>
  <tableColumns count="3">
    <tableColumn id="10" xr3:uid="{00000000-0010-0000-0500-00000A000000}" name="RowId"/>
    <tableColumn id="11" xr3:uid="{00000000-0010-0000-0500-00000B000000}" name="Notes"/>
    <tableColumn id="12" xr3:uid="{00000000-0010-0000-0500-00000C000000}" name="Likely Iss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bl_dups" displayName="tbl_dups" ref="J10:T14">
  <autoFilter ref="J10:T14" xr:uid="{00000000-0009-0000-0100-000007000000}"/>
  <tableColumns count="11">
    <tableColumn id="10" xr3:uid="{00000000-0010-0000-0600-00000A000000}" name="RowId"/>
    <tableColumn id="11" xr3:uid="{00000000-0010-0000-0600-00000B000000}" name="Duplicate Notes"/>
    <tableColumn id="12" xr3:uid="{00000000-0010-0000-0600-00000C000000}" name="Dups Found"/>
    <tableColumn id="13" xr3:uid="{00000000-0010-0000-0600-00000D000000}" name="Full Pathnames01"/>
    <tableColumn id="14" xr3:uid="{00000000-0010-0000-0600-00000E000000}" name="S1  "/>
    <tableColumn id="15" xr3:uid="{00000000-0010-0000-0600-00000F000000}" name="Full Pathnames02"/>
    <tableColumn id="16" xr3:uid="{00000000-0010-0000-0600-000010000000}" name="S2  "/>
    <tableColumn id="17" xr3:uid="{00000000-0010-0000-0600-000011000000}" name="Full Pathnames03"/>
    <tableColumn id="18" xr3:uid="{00000000-0010-0000-0600-000012000000}" name="S3  "/>
    <tableColumn id="19" xr3:uid="{00000000-0010-0000-0600-000013000000}" name="Full Pathnames04"/>
    <tableColumn id="20" xr3:uid="{00000000-0010-0000-0600-000014000000}" name="S4  "/>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bl_nest" displayName="tbl_nest" ref="J10:P173">
  <autoFilter ref="J10:P173" xr:uid="{00000000-0009-0000-0100-000008000000}"/>
  <tableColumns count="7">
    <tableColumn id="10" xr3:uid="{00000000-0010-0000-0700-00000A000000}" name="RowId"/>
    <tableColumn id="11" xr3:uid="{00000000-0010-0000-0700-00000B000000}" name="Plug-in"/>
    <tableColumn id="12" xr3:uid="{00000000-0010-0000-0700-00000C000000}" name="Filename"/>
    <tableColumn id="13" xr3:uid="{00000000-0010-0000-0700-00000D000000}" name="Properties"/>
    <tableColumn id="14" xr3:uid="{00000000-0010-0000-0700-00000E000000}" name="ValCount"/>
    <tableColumn id="15" xr3:uid="{00000000-0010-0000-0700-00000F000000}" name="All Values ('|' separator)"/>
    <tableColumn id="16" xr3:uid="{00000000-0010-0000-0700-000010000000}" name="IsVisible"/>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bl_plug" displayName="tbl_plug" ref="J10:S76">
  <autoFilter ref="J10:S76" xr:uid="{00000000-0009-0000-0100-000009000000}"/>
  <tableColumns count="10">
    <tableColumn id="10" xr3:uid="{00000000-0010-0000-0800-00000A000000}" name="RowId"/>
    <tableColumn id="11" xr3:uid="{00000000-0010-0000-0800-00000B000000}" name="Plugin Id"/>
    <tableColumn id="12" xr3:uid="{00000000-0010-0000-0800-00000C000000}" name="Name"/>
    <tableColumn id="13" xr3:uid="{00000000-0010-0000-0800-00000D000000}" name="Version"/>
    <tableColumn id="14" xr3:uid="{00000000-0010-0000-0800-00000E000000}" name="Min App Version"/>
    <tableColumn id="15" xr3:uid="{00000000-0010-0000-0800-00000F000000}" name="Author"/>
    <tableColumn id="16" xr3:uid="{00000000-0010-0000-0800-000010000000}" name="Authors Url"/>
    <tableColumn id="17" xr3:uid="{00000000-0010-0000-0800-000011000000}" name="isDesktopOnly"/>
    <tableColumn id="18" xr3:uid="{00000000-0010-0000-0800-000012000000}" name="Description"/>
    <tableColumn id="19" xr3:uid="{00000000-0010-0000-0800-000013000000}" name="Plugin Codeblock Signatures"/>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C923-3B5C-4036-BDCC-9353B2A8B2CE}">
  <sheetPr>
    <tabColor rgb="FFB01513"/>
  </sheetPr>
  <dimension ref="A1:S56"/>
  <sheetViews>
    <sheetView showGridLines="0" topLeftCell="C1" workbookViewId="0">
      <selection activeCell="P25" sqref="O25:P33"/>
    </sheetView>
  </sheetViews>
  <sheetFormatPr defaultRowHeight="15"/>
  <cols>
    <col min="1" max="1" width="9.23046875" style="260"/>
    <col min="2" max="2" width="9.23046875" style="217"/>
    <col min="3" max="3" width="31.69140625" style="217" customWidth="1"/>
    <col min="4" max="5" width="9.23046875" style="217"/>
    <col min="6" max="6" width="3.921875" style="217" customWidth="1"/>
    <col min="7" max="7" width="31.69140625" style="217" customWidth="1"/>
    <col min="8" max="8" width="9.23046875" style="217"/>
    <col min="9" max="9" width="7.53515625" style="217" customWidth="1"/>
    <col min="10" max="11" width="9.23046875" style="217"/>
    <col min="12" max="12" width="22.3828125" style="217" customWidth="1"/>
    <col min="13" max="13" width="11.07421875" style="217" customWidth="1"/>
    <col min="14" max="14" width="7.921875" style="217" customWidth="1"/>
    <col min="15" max="15" width="6.3828125" style="219" customWidth="1"/>
    <col min="16" max="16" width="9.765625" style="217" customWidth="1"/>
    <col min="17" max="17" width="3" style="217" customWidth="1"/>
    <col min="18" max="18" width="5.921875" style="217" customWidth="1"/>
    <col min="19" max="19" width="65.3046875" style="217" customWidth="1"/>
    <col min="20" max="16384" width="9.23046875" style="217"/>
  </cols>
  <sheetData>
    <row r="1" spans="3:18" ht="82" customHeight="1">
      <c r="C1" s="263"/>
      <c r="D1" s="263"/>
      <c r="E1" s="263"/>
      <c r="F1" s="263"/>
      <c r="G1" s="263"/>
      <c r="H1" s="263"/>
      <c r="I1" s="263"/>
      <c r="K1" s="265" t="s">
        <v>4599</v>
      </c>
      <c r="L1" s="265"/>
      <c r="M1" s="265"/>
      <c r="N1" s="265"/>
      <c r="O1" s="265"/>
      <c r="P1" s="265"/>
      <c r="Q1" s="265"/>
      <c r="R1" s="265"/>
    </row>
    <row r="2" spans="3:18" ht="15.5" thickBot="1">
      <c r="C2" s="263"/>
      <c r="D2" s="263"/>
      <c r="E2" s="263"/>
      <c r="F2" s="263"/>
      <c r="G2" s="263"/>
      <c r="H2" s="263"/>
      <c r="I2" s="263"/>
    </row>
    <row r="3" spans="3:18" ht="15.5" thickTop="1">
      <c r="C3" s="264" t="s">
        <v>4567</v>
      </c>
      <c r="D3" s="264"/>
      <c r="E3" s="264"/>
      <c r="F3" s="220"/>
      <c r="G3" s="264" t="s">
        <v>4568</v>
      </c>
      <c r="H3" s="264"/>
      <c r="I3" s="264"/>
      <c r="L3" s="227" t="s">
        <v>4600</v>
      </c>
      <c r="M3" s="228" t="s">
        <v>5</v>
      </c>
    </row>
    <row r="4" spans="3:18">
      <c r="C4" s="264"/>
      <c r="D4" s="264"/>
      <c r="E4" s="264"/>
      <c r="F4" s="220"/>
      <c r="G4" s="264"/>
      <c r="H4" s="264"/>
      <c r="I4" s="264"/>
      <c r="L4" t="s">
        <v>2599</v>
      </c>
      <c r="M4">
        <v>179</v>
      </c>
    </row>
    <row r="5" spans="3:18">
      <c r="C5" s="264"/>
      <c r="D5" s="264"/>
      <c r="E5" s="264"/>
      <c r="F5" s="220"/>
      <c r="G5" s="264"/>
      <c r="H5" s="264"/>
      <c r="I5" s="264"/>
      <c r="L5" t="s">
        <v>4604</v>
      </c>
      <c r="M5">
        <v>4</v>
      </c>
      <c r="N5" s="257">
        <v>0.01</v>
      </c>
    </row>
    <row r="6" spans="3:18">
      <c r="C6" s="221"/>
      <c r="L6" t="s">
        <v>4558</v>
      </c>
      <c r="M6">
        <v>12</v>
      </c>
      <c r="N6" s="257">
        <v>0.03</v>
      </c>
    </row>
    <row r="7" spans="3:18" ht="19">
      <c r="C7" s="222" t="s">
        <v>6</v>
      </c>
      <c r="D7" s="222"/>
      <c r="E7" s="222"/>
      <c r="F7" s="222"/>
      <c r="G7" s="222"/>
      <c r="H7" s="222"/>
      <c r="I7" s="222"/>
      <c r="L7" t="s">
        <v>4611</v>
      </c>
    </row>
    <row r="8" spans="3:18" ht="19.5" thickBot="1">
      <c r="C8" s="223"/>
      <c r="D8" s="224"/>
      <c r="E8" s="224"/>
    </row>
    <row r="9" spans="3:18" ht="16" thickTop="1" thickBot="1">
      <c r="C9" s="225" t="s">
        <v>4560</v>
      </c>
      <c r="D9" s="226" t="s">
        <v>4</v>
      </c>
      <c r="E9" s="226" t="s">
        <v>7</v>
      </c>
      <c r="G9" s="227" t="s">
        <v>4557</v>
      </c>
      <c r="H9" s="228" t="s">
        <v>5</v>
      </c>
      <c r="I9" s="229"/>
      <c r="L9" t="s">
        <v>4605</v>
      </c>
    </row>
    <row r="10" spans="3:18" ht="15.5" thickTop="1">
      <c r="C10" s="230" t="s">
        <v>142</v>
      </c>
      <c r="D10" s="231">
        <f>_xlfn.AGGREGATE(3,3,tbl_summ[Property])</f>
        <v>118</v>
      </c>
      <c r="E10" s="231">
        <f>COUNTA(tbl_summ[Values])</f>
        <v>118</v>
      </c>
      <c r="F10" s="232"/>
      <c r="G10" s="233" t="s">
        <v>3980</v>
      </c>
      <c r="H10" s="234">
        <v>0</v>
      </c>
      <c r="I10" s="218"/>
      <c r="L10" t="s">
        <v>4603</v>
      </c>
    </row>
    <row r="11" spans="3:18">
      <c r="C11" s="230" t="s">
        <v>2</v>
      </c>
      <c r="D11" s="231"/>
      <c r="E11" s="231">
        <v>2000</v>
      </c>
      <c r="F11" s="232"/>
      <c r="G11" s="233" t="s">
        <v>3982</v>
      </c>
      <c r="H11" s="234">
        <v>12</v>
      </c>
      <c r="I11" s="218"/>
    </row>
    <row r="12" spans="3:18" ht="15.5" thickBot="1">
      <c r="C12" s="230" t="s">
        <v>3</v>
      </c>
      <c r="D12" s="231"/>
      <c r="E12" s="231">
        <f>_xlfn.AGGREGATE(9,3,tbl_summ[Files])</f>
        <v>2483</v>
      </c>
      <c r="G12" s="233" t="s">
        <v>3981</v>
      </c>
      <c r="H12" s="234">
        <v>0</v>
      </c>
      <c r="I12" s="218"/>
    </row>
    <row r="13" spans="3:18" ht="16" thickTop="1" thickBot="1">
      <c r="G13" s="233" t="s">
        <v>3984</v>
      </c>
      <c r="H13" s="234">
        <v>0</v>
      </c>
      <c r="I13" s="218"/>
      <c r="L13" s="227"/>
      <c r="M13" s="228" t="s">
        <v>5</v>
      </c>
      <c r="N13" s="228" t="s">
        <v>4606</v>
      </c>
      <c r="O13" s="228" t="s">
        <v>4602</v>
      </c>
    </row>
    <row r="14" spans="3:18" ht="15.5" thickTop="1">
      <c r="C14" s="235" t="s">
        <v>4559</v>
      </c>
      <c r="D14" s="235"/>
      <c r="E14" s="235"/>
      <c r="G14" s="233" t="s">
        <v>3983</v>
      </c>
      <c r="H14" s="234">
        <v>0</v>
      </c>
      <c r="I14" s="218"/>
      <c r="L14" s="217" t="s">
        <v>142</v>
      </c>
      <c r="M14" s="217">
        <v>179</v>
      </c>
      <c r="N14" s="217">
        <v>160</v>
      </c>
      <c r="O14" s="218">
        <v>19</v>
      </c>
    </row>
    <row r="15" spans="3:18">
      <c r="C15" s="230" t="s">
        <v>142</v>
      </c>
      <c r="D15" s="231">
        <f>COUNTA(_xlfn.UNIQUE(_xlfn._xlws.FILTER(tbl_pros[Properties],tbl_pros[IsVisible])))</f>
        <v>119</v>
      </c>
      <c r="E15" s="231">
        <f>_xlfn.AGGREGATE(3,3,tbl_pros[Properties])</f>
        <v>1158</v>
      </c>
      <c r="G15" s="233" t="s">
        <v>3986</v>
      </c>
      <c r="H15" s="234">
        <v>0</v>
      </c>
      <c r="I15" s="218"/>
      <c r="L15" s="217" t="s">
        <v>2</v>
      </c>
      <c r="M15" s="217">
        <v>2048</v>
      </c>
      <c r="N15" s="217">
        <v>1990</v>
      </c>
      <c r="O15" s="218">
        <v>58</v>
      </c>
    </row>
    <row r="16" spans="3:18" ht="15.5" thickBot="1">
      <c r="C16" s="230" t="s">
        <v>2</v>
      </c>
      <c r="D16" s="231">
        <f>COUNTA(_xlfn.UNIQUE(_xlfn._xlws.FILTER(tbl_pros[Values],tbl_pros[IsVisible])))</f>
        <v>1017</v>
      </c>
      <c r="E16" s="231">
        <f>COUNTA(tbl_pros[Values])</f>
        <v>1094</v>
      </c>
      <c r="G16" s="233" t="s">
        <v>4609</v>
      </c>
      <c r="L16" s="217" t="s">
        <v>2261</v>
      </c>
      <c r="M16" s="217">
        <v>382</v>
      </c>
      <c r="N16" s="217">
        <v>370</v>
      </c>
      <c r="O16" s="218">
        <v>12</v>
      </c>
    </row>
    <row r="17" spans="3:19" ht="16" thickTop="1" thickBot="1">
      <c r="G17" s="227" t="s">
        <v>4558</v>
      </c>
      <c r="H17" s="227"/>
      <c r="I17" s="227"/>
      <c r="L17" s="217" t="s">
        <v>4607</v>
      </c>
      <c r="M17" s="217">
        <v>45</v>
      </c>
      <c r="N17" s="217">
        <v>40</v>
      </c>
      <c r="O17" s="218">
        <v>5</v>
      </c>
    </row>
    <row r="18" spans="3:19" ht="15.5" thickTop="1">
      <c r="C18" s="238" t="s">
        <v>2261</v>
      </c>
      <c r="D18" s="238"/>
      <c r="E18" s="238"/>
      <c r="G18" s="233" t="s">
        <v>3996</v>
      </c>
      <c r="H18" s="231">
        <f>COUNTA(tbl_dups[Duplicate Notes])</f>
        <v>4</v>
      </c>
      <c r="I18" s="218"/>
      <c r="L18" s="217" t="s">
        <v>4610</v>
      </c>
      <c r="O18" s="218"/>
    </row>
    <row r="19" spans="3:19">
      <c r="C19" s="239" t="s">
        <v>2261</v>
      </c>
      <c r="D19" s="231">
        <f>COUNTA(_xlfn.UNIQUE(_xlfn._xlws.FILTER(tbl_tags[Tags],tbl_tags[IsVisible])))</f>
        <v>382</v>
      </c>
      <c r="E19" s="231">
        <f>_xlfn.AGGREGATE(3,3,tbl_tags[Tags])</f>
        <v>384</v>
      </c>
      <c r="G19" s="233" t="s">
        <v>4002</v>
      </c>
      <c r="H19" s="231">
        <f>SUM(tbl_dups[Dups Found])</f>
        <v>8</v>
      </c>
      <c r="I19" s="218"/>
      <c r="O19" s="218"/>
    </row>
    <row r="20" spans="3:19">
      <c r="C20" s="239" t="s">
        <v>3</v>
      </c>
      <c r="D20" s="218"/>
      <c r="E20" s="231">
        <f>_xlfn.AGGREGATE(9,3,tbl_tags[Files])</f>
        <v>1389</v>
      </c>
      <c r="L20" s="236" t="s">
        <v>4597</v>
      </c>
    </row>
    <row r="21" spans="3:19" ht="20.5" thickBot="1">
      <c r="L21" s="217" t="s">
        <v>4569</v>
      </c>
      <c r="Q21" s="237" t="s">
        <v>4596</v>
      </c>
    </row>
    <row r="22" spans="3:19" ht="15.5" thickTop="1">
      <c r="C22" s="244" t="s">
        <v>3</v>
      </c>
      <c r="D22" s="244"/>
      <c r="E22" s="244"/>
      <c r="G22" s="245" t="s">
        <v>2599</v>
      </c>
      <c r="H22" s="245"/>
      <c r="I22" s="245"/>
      <c r="L22" s="217" t="s">
        <v>4570</v>
      </c>
    </row>
    <row r="23" spans="3:19">
      <c r="C23" s="246" t="s">
        <v>2599</v>
      </c>
      <c r="D23" s="231">
        <f>COUNTA(_xlfn.UNIQUE(_xlfn._xlws.FILTER(tbl_file[Inline?],tbl_file[IsVisible])))</f>
        <v>2</v>
      </c>
      <c r="E23" s="231">
        <f>_xlfn.AGGREGATE(3,3,tbl_file[Notes])</f>
        <v>2800</v>
      </c>
      <c r="G23" s="264" t="s">
        <v>4577</v>
      </c>
      <c r="H23" s="264"/>
      <c r="I23" s="264"/>
      <c r="L23" s="217" t="s">
        <v>4571</v>
      </c>
    </row>
    <row r="24" spans="3:19">
      <c r="C24" s="246" t="s">
        <v>2601</v>
      </c>
      <c r="D24" s="231">
        <f>COUNTA(_xlfn.UNIQUE(tbl_file[Notes]))</f>
        <v>741</v>
      </c>
      <c r="E24" s="231">
        <f>_xlfn.AGGREGATE(3,3,tbl_file[Inline?])</f>
        <v>85</v>
      </c>
      <c r="G24" s="264"/>
      <c r="H24" s="264"/>
      <c r="I24" s="264"/>
    </row>
    <row r="25" spans="3:19">
      <c r="C25" s="246" t="s">
        <v>1</v>
      </c>
      <c r="D25" s="231">
        <f>COUNTA(_xlfn.UNIQUE(_xlfn._xlws.FILTER(tbl_file[Property],tbl_file[IsVisible])))</f>
        <v>179</v>
      </c>
      <c r="E25" s="231">
        <f>COUNTA(tbl_file[Property])</f>
        <v>2800</v>
      </c>
      <c r="G25" s="264"/>
      <c r="H25" s="264"/>
      <c r="I25" s="264"/>
      <c r="O25" s="240">
        <v>1</v>
      </c>
      <c r="P25" s="241" t="s">
        <v>4578</v>
      </c>
      <c r="R25" s="242" t="s">
        <v>4595</v>
      </c>
      <c r="S25" s="243" t="s">
        <v>4587</v>
      </c>
    </row>
    <row r="26" spans="3:19">
      <c r="C26" s="246" t="s">
        <v>2602</v>
      </c>
      <c r="D26" s="231">
        <f>COUNTA(_xlfn.UNIQUE(_xlfn._xlws.FILTER(tbl_file[Property],tbl_file[IsVisible])))</f>
        <v>179</v>
      </c>
      <c r="E26" s="231">
        <f>COUNTA(tbl_file[Property])</f>
        <v>2800</v>
      </c>
      <c r="G26" s="264"/>
      <c r="H26" s="264"/>
      <c r="I26" s="264"/>
      <c r="O26" s="240">
        <v>2</v>
      </c>
      <c r="P26" s="241" t="s">
        <v>4579</v>
      </c>
      <c r="R26" s="242">
        <v>1</v>
      </c>
      <c r="S26" s="243" t="s">
        <v>4588</v>
      </c>
    </row>
    <row r="27" spans="3:19" ht="15.5" thickBot="1">
      <c r="G27" s="264"/>
      <c r="H27" s="264"/>
      <c r="I27" s="264"/>
      <c r="L27" s="256" t="s">
        <v>4601</v>
      </c>
      <c r="O27" s="240">
        <v>3</v>
      </c>
      <c r="P27" s="241" t="s">
        <v>4580</v>
      </c>
      <c r="R27" s="242">
        <v>2</v>
      </c>
      <c r="S27" s="243" t="s">
        <v>4589</v>
      </c>
    </row>
    <row r="28" spans="3:19" ht="15.5" thickTop="1">
      <c r="C28" s="248" t="s">
        <v>4556</v>
      </c>
      <c r="D28" s="248"/>
      <c r="E28" s="248"/>
      <c r="G28" s="264"/>
      <c r="H28" s="264"/>
      <c r="I28" s="264"/>
      <c r="O28" s="240">
        <v>4</v>
      </c>
      <c r="P28" s="241" t="s">
        <v>4581</v>
      </c>
      <c r="R28" s="242">
        <v>3</v>
      </c>
      <c r="S28" s="243" t="s">
        <v>4590</v>
      </c>
    </row>
    <row r="29" spans="3:19">
      <c r="C29" s="249" t="s">
        <v>2599</v>
      </c>
      <c r="D29" s="231">
        <f>COUNTA(_xlfn.UNIQUE(_xlfn._xlws.FILTER(tbl_code[Notes],tbl_code[IsVisible])))</f>
        <v>417</v>
      </c>
      <c r="E29" s="231">
        <f>_xlfn.AGGREGATE(3,3,tbl_code[Notes])</f>
        <v>803</v>
      </c>
      <c r="G29" s="264"/>
      <c r="H29" s="264"/>
      <c r="I29" s="264"/>
      <c r="O29" s="240">
        <v>5</v>
      </c>
      <c r="P29" s="241" t="s">
        <v>4582</v>
      </c>
      <c r="R29" s="242">
        <v>4</v>
      </c>
      <c r="S29" s="243" t="s">
        <v>4591</v>
      </c>
    </row>
    <row r="30" spans="3:19">
      <c r="C30" s="249" t="s">
        <v>3276</v>
      </c>
      <c r="D30" s="231">
        <f>COUNTA(_xlfn.UNIQUE(_xlfn._xlws.FILTER(tbl_code[PluginID],tbl_code[IsVisible])))</f>
        <v>8</v>
      </c>
      <c r="E30" s="231">
        <f>_xlfn.AGGREGATE(3,3,tbl_code[PluginID])</f>
        <v>539</v>
      </c>
      <c r="G30" s="264"/>
      <c r="H30" s="264"/>
      <c r="I30" s="264"/>
      <c r="O30" s="240">
        <v>6</v>
      </c>
      <c r="P30" s="241" t="s">
        <v>4583</v>
      </c>
      <c r="R30" s="242">
        <v>5</v>
      </c>
      <c r="S30" s="243" t="s">
        <v>4592</v>
      </c>
    </row>
    <row r="31" spans="3:19">
      <c r="C31" s="249" t="s">
        <v>3277</v>
      </c>
      <c r="D31" s="231">
        <f>COUNTA(_xlfn.UNIQUE(_xlfn._xlws.FILTER(tbl_code[Signature],tbl_code[IsVisible])))</f>
        <v>25</v>
      </c>
      <c r="E31" s="231">
        <f>COUNTA(tbl_code[Signature])</f>
        <v>803</v>
      </c>
      <c r="G31" s="264"/>
      <c r="H31" s="264"/>
      <c r="I31" s="264"/>
      <c r="O31" s="240">
        <v>7</v>
      </c>
      <c r="P31" s="241" t="s">
        <v>4584</v>
      </c>
      <c r="R31" s="242">
        <v>6</v>
      </c>
      <c r="S31" s="243" t="s">
        <v>4593</v>
      </c>
    </row>
    <row r="32" spans="3:19">
      <c r="C32" s="249" t="s">
        <v>7</v>
      </c>
      <c r="D32" s="218"/>
      <c r="E32" s="231">
        <f>_xlfn.AGGREGATE(9,3,tbl_code[Count])</f>
        <v>1676</v>
      </c>
      <c r="G32" s="264"/>
      <c r="H32" s="264"/>
      <c r="I32" s="264"/>
      <c r="O32" s="240">
        <v>8</v>
      </c>
      <c r="P32" s="241" t="s">
        <v>4585</v>
      </c>
      <c r="R32" s="242">
        <v>7</v>
      </c>
      <c r="S32" s="243" t="s">
        <v>4594</v>
      </c>
    </row>
    <row r="33" spans="3:19">
      <c r="C33" s="250" t="s">
        <v>4561</v>
      </c>
      <c r="D33" s="251"/>
      <c r="E33" s="251"/>
      <c r="F33" s="251"/>
      <c r="G33" s="252"/>
      <c r="H33" s="253" t="s">
        <v>125</v>
      </c>
      <c r="I33" s="254" t="s">
        <v>4576</v>
      </c>
      <c r="O33" s="240">
        <v>9</v>
      </c>
      <c r="P33" s="241" t="s">
        <v>4586</v>
      </c>
      <c r="R33" s="247"/>
      <c r="S33" s="247"/>
    </row>
    <row r="45" spans="3:19" ht="15.5" thickBot="1"/>
    <row r="46" spans="3:19" ht="15.5" thickTop="1">
      <c r="C46" s="255" t="s">
        <v>22</v>
      </c>
      <c r="D46" s="227"/>
      <c r="E46" s="227"/>
    </row>
    <row r="47" spans="3:19">
      <c r="C47" s="221" t="s">
        <v>24</v>
      </c>
    </row>
    <row r="48" spans="3:19">
      <c r="C48" s="221" t="s">
        <v>26</v>
      </c>
    </row>
    <row r="49" spans="3:3">
      <c r="C49" s="221" t="s">
        <v>28</v>
      </c>
    </row>
    <row r="50" spans="3:3">
      <c r="C50" s="221" t="s">
        <v>30</v>
      </c>
    </row>
    <row r="51" spans="3:3">
      <c r="C51" s="221" t="s">
        <v>32</v>
      </c>
    </row>
    <row r="52" spans="3:3">
      <c r="C52" s="221" t="s">
        <v>34</v>
      </c>
    </row>
    <row r="53" spans="3:3">
      <c r="C53" s="221" t="s">
        <v>36</v>
      </c>
    </row>
    <row r="54" spans="3:3">
      <c r="C54" s="221" t="s">
        <v>38</v>
      </c>
    </row>
    <row r="55" spans="3:3">
      <c r="C55" s="221" t="s">
        <v>40</v>
      </c>
    </row>
    <row r="56" spans="3:3">
      <c r="C56" s="221" t="s">
        <v>42</v>
      </c>
    </row>
  </sheetData>
  <mergeCells count="5">
    <mergeCell ref="C1:I2"/>
    <mergeCell ref="C3:E5"/>
    <mergeCell ref="G3:I5"/>
    <mergeCell ref="G23:I32"/>
    <mergeCell ref="K1:R1"/>
  </mergeCells>
  <pageMargins left="0.75" right="0.75" top="1" bottom="1" header="0.5" footer="0.5"/>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6B729"/>
  </sheetPr>
  <dimension ref="A2:S76"/>
  <sheetViews>
    <sheetView showGridLines="0" workbookViewId="0">
      <selection sqref="A1:A1048576"/>
    </sheetView>
  </sheetViews>
  <sheetFormatPr defaultRowHeight="15"/>
  <cols>
    <col min="1" max="1" width="9.23046875" style="260"/>
    <col min="3" max="3" width="32" customWidth="1"/>
    <col min="4" max="4" width="15" customWidth="1"/>
    <col min="10" max="10" width="8" customWidth="1"/>
    <col min="11" max="11" width="15" customWidth="1"/>
    <col min="12" max="12" width="30" customWidth="1"/>
    <col min="13" max="13" width="10" customWidth="1"/>
    <col min="14" max="14" width="8" customWidth="1"/>
    <col min="15" max="16" width="20" customWidth="1"/>
    <col min="17" max="17" width="7" customWidth="1"/>
    <col min="18" max="18" width="50" customWidth="1"/>
    <col min="19" max="19" width="30" customWidth="1"/>
  </cols>
  <sheetData>
    <row r="2" spans="3:19" ht="29.5">
      <c r="C2" s="47" t="s">
        <v>4074</v>
      </c>
    </row>
    <row r="3" spans="3:19">
      <c r="C3" s="2" t="s">
        <v>4075</v>
      </c>
    </row>
    <row r="4" spans="3:19">
      <c r="C4" s="2" t="s">
        <v>4076</v>
      </c>
    </row>
    <row r="5" spans="3:19">
      <c r="C5" s="2" t="s">
        <v>4077</v>
      </c>
    </row>
    <row r="6" spans="3:19">
      <c r="C6" s="2"/>
    </row>
    <row r="8" spans="3:19" ht="15.5">
      <c r="K8" s="5" t="str">
        <f>IFERROR(IF(_xlfn.AGGREGATE(3,3,tbl_plug[isDesktopOnly])&lt;&gt;SUM(#REF!),"Properties w/Empty Values Detected!",""),"")</f>
        <v/>
      </c>
    </row>
    <row r="10" spans="3:19" ht="18">
      <c r="C10" s="48" t="s">
        <v>0</v>
      </c>
      <c r="D10" s="54" t="s">
        <v>5</v>
      </c>
      <c r="J10" s="55" t="s">
        <v>8</v>
      </c>
      <c r="K10" s="52" t="s">
        <v>4078</v>
      </c>
      <c r="L10" s="52" t="s">
        <v>4079</v>
      </c>
      <c r="M10" s="55" t="s">
        <v>4080</v>
      </c>
      <c r="N10" s="55" t="s">
        <v>4081</v>
      </c>
      <c r="O10" s="55" t="s">
        <v>3150</v>
      </c>
      <c r="P10" s="55" t="s">
        <v>4082</v>
      </c>
      <c r="Q10" s="55" t="s">
        <v>4083</v>
      </c>
      <c r="R10" s="55" t="s">
        <v>4084</v>
      </c>
      <c r="S10" s="55" t="s">
        <v>4085</v>
      </c>
    </row>
    <row r="11" spans="3:19" ht="28">
      <c r="C11" s="56" t="s">
        <v>4078</v>
      </c>
      <c r="D11" s="4">
        <f>_xlfn.AGGREGATE(3,3,tbl_plug[Plugin Id])</f>
        <v>66</v>
      </c>
      <c r="J11" s="4">
        <v>1</v>
      </c>
      <c r="K11" s="20" t="s">
        <v>4086</v>
      </c>
      <c r="L11" s="20" t="s">
        <v>3291</v>
      </c>
      <c r="M11" s="20" t="s">
        <v>4087</v>
      </c>
      <c r="N11" s="2" t="s">
        <v>4088</v>
      </c>
      <c r="O11" s="2" t="s">
        <v>4089</v>
      </c>
      <c r="P11" s="21" t="str">
        <f>HYPERLINK("shbgm.ca","shbgm.ca")</f>
        <v>shbgm.ca</v>
      </c>
      <c r="Q11" s="2" t="b">
        <v>0</v>
      </c>
      <c r="R11" s="57" t="s">
        <v>4090</v>
      </c>
      <c r="S11" s="2" t="s">
        <v>4091</v>
      </c>
    </row>
    <row r="12" spans="3:19">
      <c r="C12" s="56" t="s">
        <v>4083</v>
      </c>
      <c r="D12" s="4">
        <f>COUNTIF(tbl_plug[isDesktopOnly],"TRUE")</f>
        <v>7</v>
      </c>
      <c r="J12" s="4">
        <v>2</v>
      </c>
      <c r="K12" s="20" t="s">
        <v>2291</v>
      </c>
      <c r="L12" s="20" t="s">
        <v>4092</v>
      </c>
      <c r="M12" s="20" t="s">
        <v>4093</v>
      </c>
      <c r="N12" s="2" t="s">
        <v>4094</v>
      </c>
      <c r="O12" s="2" t="s">
        <v>4095</v>
      </c>
      <c r="P12" s="21" t="str">
        <f>HYPERLINK("liamcain","liamcain")</f>
        <v>liamcain</v>
      </c>
      <c r="Q12" s="2" t="b">
        <v>0</v>
      </c>
      <c r="R12" s="57" t="s">
        <v>4096</v>
      </c>
      <c r="S12" s="2"/>
    </row>
    <row r="13" spans="3:19" ht="15.5">
      <c r="C13" s="5" t="str">
        <f>IFERROR(IF(COUNTA(tbl_plug[RowId])&lt;&gt;SUM(#REF!),"Column filters applied--Totals now reflect column filters!",""),"")</f>
        <v/>
      </c>
      <c r="J13" s="4">
        <v>3</v>
      </c>
      <c r="K13" s="20" t="s">
        <v>4097</v>
      </c>
      <c r="L13" s="20" t="s">
        <v>4098</v>
      </c>
      <c r="M13" s="20" t="s">
        <v>4099</v>
      </c>
      <c r="N13" s="2" t="s">
        <v>4100</v>
      </c>
      <c r="O13" s="2" t="s">
        <v>4101</v>
      </c>
      <c r="P13" s="21" t="str">
        <f>HYPERLINK("eth-p","eth-p")</f>
        <v>eth-p</v>
      </c>
      <c r="Q13" s="2" t="b">
        <v>0</v>
      </c>
      <c r="R13" s="57" t="s">
        <v>4102</v>
      </c>
      <c r="S13" s="2"/>
    </row>
    <row r="14" spans="3:19" ht="28">
      <c r="J14" s="4">
        <v>4</v>
      </c>
      <c r="K14" s="20" t="s">
        <v>4103</v>
      </c>
      <c r="L14" s="20" t="s">
        <v>4104</v>
      </c>
      <c r="M14" s="20" t="s">
        <v>4105</v>
      </c>
      <c r="N14" s="2" t="s">
        <v>4106</v>
      </c>
      <c r="O14" s="2" t="s">
        <v>4107</v>
      </c>
      <c r="P14" s="21" t="str">
        <f>HYPERLINK("phibr0","phibr0")</f>
        <v>phibr0</v>
      </c>
      <c r="Q14" s="2" t="b">
        <v>0</v>
      </c>
      <c r="R14" s="57" t="s">
        <v>4108</v>
      </c>
      <c r="S14" s="2"/>
    </row>
    <row r="15" spans="3:19">
      <c r="J15" s="4">
        <v>5</v>
      </c>
      <c r="K15" s="20" t="s">
        <v>4109</v>
      </c>
      <c r="L15" s="20" t="s">
        <v>4110</v>
      </c>
      <c r="M15" s="20" t="s">
        <v>4111</v>
      </c>
      <c r="N15" s="2" t="s">
        <v>4112</v>
      </c>
      <c r="O15" s="2" t="s">
        <v>4113</v>
      </c>
      <c r="P15" s="21" t="str">
        <f>HYPERLINK("obsidian-switcher-plus","obsidian-switcher-plus")</f>
        <v>obsidian-switcher-plus</v>
      </c>
      <c r="Q15" s="2" t="b">
        <v>0</v>
      </c>
      <c r="R15" s="57" t="s">
        <v>4114</v>
      </c>
      <c r="S15" s="2"/>
    </row>
    <row r="16" spans="3:19">
      <c r="J16" s="4">
        <v>6</v>
      </c>
      <c r="K16" s="20" t="s">
        <v>2319</v>
      </c>
      <c r="L16" s="20" t="s">
        <v>3319</v>
      </c>
      <c r="M16" s="20" t="s">
        <v>4115</v>
      </c>
      <c r="N16" s="2" t="s">
        <v>4116</v>
      </c>
      <c r="O16" s="2" t="s">
        <v>4117</v>
      </c>
      <c r="P16" s="21" t="str">
        <f>HYPERLINK("blacksmithgu","blacksmithgu")</f>
        <v>blacksmithgu</v>
      </c>
      <c r="Q16" s="2" t="b">
        <v>0</v>
      </c>
      <c r="R16" s="57" t="s">
        <v>4118</v>
      </c>
      <c r="S16" s="2" t="s">
        <v>4119</v>
      </c>
    </row>
    <row r="17" spans="3:19">
      <c r="J17" s="4">
        <v>7</v>
      </c>
      <c r="K17" s="20" t="s">
        <v>4120</v>
      </c>
      <c r="L17" s="20" t="s">
        <v>4121</v>
      </c>
      <c r="M17" s="20" t="s">
        <v>4122</v>
      </c>
      <c r="N17" s="2" t="s">
        <v>4123</v>
      </c>
      <c r="O17" s="2" t="s">
        <v>4124</v>
      </c>
      <c r="P17" s="21" t="str">
        <f>HYPERLINK("northlandcreativewonders.com","northlandcreativewonders.com")</f>
        <v>northlandcreativewonders.com</v>
      </c>
      <c r="Q17" s="2" t="b">
        <v>0</v>
      </c>
      <c r="R17" s="57" t="s">
        <v>4125</v>
      </c>
      <c r="S17" s="2"/>
    </row>
    <row r="18" spans="3:19">
      <c r="J18" s="4">
        <v>8</v>
      </c>
      <c r="K18" s="20" t="s">
        <v>4126</v>
      </c>
      <c r="L18" s="20" t="s">
        <v>4127</v>
      </c>
      <c r="M18" s="20" t="s">
        <v>4128</v>
      </c>
      <c r="N18" s="2" t="s">
        <v>4129</v>
      </c>
      <c r="O18" s="2" t="s">
        <v>4130</v>
      </c>
      <c r="P18" s="21" t="str">
        <f>HYPERLINK("clairefro","clairefro")</f>
        <v>clairefro</v>
      </c>
      <c r="Q18" s="2" t="b">
        <v>0</v>
      </c>
      <c r="R18" s="57" t="s">
        <v>4131</v>
      </c>
      <c r="S18" s="2"/>
    </row>
    <row r="19" spans="3:19">
      <c r="J19" s="4">
        <v>9</v>
      </c>
      <c r="K19" s="20" t="s">
        <v>4132</v>
      </c>
      <c r="L19" s="20" t="s">
        <v>3288</v>
      </c>
      <c r="M19" s="20" t="s">
        <v>4133</v>
      </c>
      <c r="N19" s="2" t="s">
        <v>4134</v>
      </c>
      <c r="O19" s="2" t="s">
        <v>4135</v>
      </c>
      <c r="P19" s="21" t="str">
        <f>HYPERLINK("obsidian-folder-note","obsidian-folder-note")</f>
        <v>obsidian-folder-note</v>
      </c>
      <c r="Q19" s="2" t="b">
        <v>0</v>
      </c>
      <c r="R19" s="57" t="s">
        <v>4136</v>
      </c>
      <c r="S19" s="2" t="s">
        <v>4137</v>
      </c>
    </row>
    <row r="20" spans="3:19">
      <c r="J20" s="4">
        <v>10</v>
      </c>
      <c r="K20" s="20" t="s">
        <v>4138</v>
      </c>
      <c r="L20" s="20" t="s">
        <v>3455</v>
      </c>
      <c r="M20" s="20" t="s">
        <v>4139</v>
      </c>
      <c r="N20" s="2" t="s">
        <v>4140</v>
      </c>
      <c r="O20" s="2" t="s">
        <v>4141</v>
      </c>
      <c r="P20" s="21" t="str">
        <f>HYPERLINK("YukiGasai","YukiGasai")</f>
        <v>YukiGasai</v>
      </c>
      <c r="Q20" s="2" t="b">
        <v>0</v>
      </c>
      <c r="R20" s="57" t="s">
        <v>4142</v>
      </c>
      <c r="S20" s="2" t="s">
        <v>4143</v>
      </c>
    </row>
    <row r="21" spans="3:19">
      <c r="C21" s="52" t="s">
        <v>22</v>
      </c>
      <c r="J21" s="4">
        <v>11</v>
      </c>
      <c r="K21" s="20" t="s">
        <v>4144</v>
      </c>
      <c r="L21" s="20" t="s">
        <v>4145</v>
      </c>
      <c r="M21" s="20" t="s">
        <v>4146</v>
      </c>
      <c r="N21" s="2" t="s">
        <v>4129</v>
      </c>
      <c r="O21" s="2" t="s">
        <v>4147</v>
      </c>
      <c r="P21" s="21" t="str">
        <f>HYPERLINK("alangrainger","alangrainger")</f>
        <v>alangrainger</v>
      </c>
      <c r="Q21" s="2" t="b">
        <v>0</v>
      </c>
      <c r="R21" s="57" t="s">
        <v>4148</v>
      </c>
      <c r="S21" s="2"/>
    </row>
    <row r="22" spans="3:19">
      <c r="C22" s="2"/>
      <c r="J22" s="4">
        <v>12</v>
      </c>
      <c r="K22" s="20" t="s">
        <v>4149</v>
      </c>
      <c r="L22" s="20" t="s">
        <v>4150</v>
      </c>
      <c r="M22" s="20" t="s">
        <v>4151</v>
      </c>
      <c r="N22" s="2"/>
      <c r="O22" s="2"/>
      <c r="P22" s="2"/>
      <c r="Q22" s="2" t="b">
        <v>0</v>
      </c>
      <c r="R22" s="57" t="s">
        <v>4152</v>
      </c>
      <c r="S22" s="2"/>
    </row>
    <row r="23" spans="3:19">
      <c r="C23" s="2"/>
      <c r="J23" s="4">
        <v>13</v>
      </c>
      <c r="K23" s="20" t="s">
        <v>4153</v>
      </c>
      <c r="L23" s="20" t="s">
        <v>4154</v>
      </c>
      <c r="M23" s="20" t="s">
        <v>4155</v>
      </c>
      <c r="N23" s="2" t="s">
        <v>4156</v>
      </c>
      <c r="O23" s="2" t="s">
        <v>4157</v>
      </c>
      <c r="P23" s="21" t="str">
        <f>HYPERLINK("joethei","joethei")</f>
        <v>joethei</v>
      </c>
      <c r="Q23" s="2" t="b">
        <v>0</v>
      </c>
      <c r="R23" s="57" t="s">
        <v>4158</v>
      </c>
      <c r="S23" s="2"/>
    </row>
    <row r="24" spans="3:19">
      <c r="C24" s="2"/>
      <c r="J24" s="4">
        <v>14</v>
      </c>
      <c r="K24" s="20" t="s">
        <v>4159</v>
      </c>
      <c r="L24" s="20" t="s">
        <v>4160</v>
      </c>
      <c r="M24" s="20" t="s">
        <v>4161</v>
      </c>
      <c r="N24" s="2" t="s">
        <v>4129</v>
      </c>
      <c r="O24" s="2" t="s">
        <v>4162</v>
      </c>
      <c r="P24" s="21" t="str">
        <f>HYPERLINK("obsidian-local-backup","obsidian-local-backup")</f>
        <v>obsidian-local-backup</v>
      </c>
      <c r="Q24" s="2" t="b">
        <v>1</v>
      </c>
      <c r="R24" s="57" t="s">
        <v>4163</v>
      </c>
      <c r="S24" s="2"/>
    </row>
    <row r="25" spans="3:19">
      <c r="C25" s="2"/>
      <c r="J25" s="4">
        <v>15</v>
      </c>
      <c r="K25" s="20" t="s">
        <v>4164</v>
      </c>
      <c r="L25" s="20" t="s">
        <v>4165</v>
      </c>
      <c r="M25" s="20" t="s">
        <v>4166</v>
      </c>
      <c r="N25" s="2" t="s">
        <v>4167</v>
      </c>
      <c r="O25" s="2" t="s">
        <v>4168</v>
      </c>
      <c r="P25" s="21" t="str">
        <f>HYPERLINK("AidenLx","AidenLx")</f>
        <v>AidenLx</v>
      </c>
      <c r="Q25" s="2" t="b">
        <v>1</v>
      </c>
      <c r="R25" s="57" t="s">
        <v>4169</v>
      </c>
      <c r="S25" s="2"/>
    </row>
    <row r="26" spans="3:19" ht="28">
      <c r="C26" s="2"/>
      <c r="J26" s="4">
        <v>16</v>
      </c>
      <c r="K26" s="20" t="s">
        <v>4170</v>
      </c>
      <c r="L26" s="20" t="s">
        <v>3368</v>
      </c>
      <c r="M26" s="20" t="s">
        <v>4171</v>
      </c>
      <c r="N26" s="2" t="s">
        <v>4106</v>
      </c>
      <c r="O26" s="2" t="s">
        <v>4172</v>
      </c>
      <c r="P26" s="21" t="str">
        <f>HYPERLINK("dartungar.com","dartungar.com")</f>
        <v>dartungar.com</v>
      </c>
      <c r="Q26" s="2" t="b">
        <v>0</v>
      </c>
      <c r="R26" s="57" t="s">
        <v>4173</v>
      </c>
      <c r="S26" s="2" t="s">
        <v>4174</v>
      </c>
    </row>
    <row r="27" spans="3:19" ht="28">
      <c r="C27" s="2"/>
      <c r="J27" s="4">
        <v>17</v>
      </c>
      <c r="K27" s="20" t="s">
        <v>4175</v>
      </c>
      <c r="L27" s="20" t="s">
        <v>4176</v>
      </c>
      <c r="M27" s="20" t="s">
        <v>4177</v>
      </c>
      <c r="N27" s="2" t="s">
        <v>4178</v>
      </c>
      <c r="O27" s="2" t="s">
        <v>4179</v>
      </c>
      <c r="P27" s="21" t="str">
        <f>HYPERLINK("mdelobelle","mdelobelle")</f>
        <v>mdelobelle</v>
      </c>
      <c r="Q27" s="2" t="b">
        <v>0</v>
      </c>
      <c r="R27" s="57" t="s">
        <v>4180</v>
      </c>
      <c r="S27" s="2"/>
    </row>
    <row r="28" spans="3:19">
      <c r="C28" s="2"/>
      <c r="J28" s="4">
        <v>18</v>
      </c>
      <c r="K28" s="20" t="s">
        <v>4181</v>
      </c>
      <c r="L28" s="20" t="s">
        <v>4182</v>
      </c>
      <c r="M28" s="20" t="s">
        <v>4183</v>
      </c>
      <c r="N28" s="2" t="s">
        <v>4184</v>
      </c>
      <c r="O28" s="2" t="s">
        <v>4185</v>
      </c>
      <c r="P28" s="21" t="str">
        <f>HYPERLINK("bagerbach.com","bagerbach.com")</f>
        <v>bagerbach.com</v>
      </c>
      <c r="Q28" s="2" t="b">
        <v>0</v>
      </c>
      <c r="R28" s="57" t="s">
        <v>4186</v>
      </c>
      <c r="S28" s="2"/>
    </row>
    <row r="29" spans="3:19" ht="28">
      <c r="C29" s="2"/>
      <c r="J29" s="4">
        <v>19</v>
      </c>
      <c r="K29" s="20" t="s">
        <v>4187</v>
      </c>
      <c r="L29" s="20" t="s">
        <v>4188</v>
      </c>
      <c r="M29" s="20" t="s">
        <v>4189</v>
      </c>
      <c r="N29" s="2" t="s">
        <v>4129</v>
      </c>
      <c r="O29" s="2" t="s">
        <v>4190</v>
      </c>
      <c r="P29" s="21" t="str">
        <f>HYPERLINK("danielo.es","danielo.es")</f>
        <v>danielo.es</v>
      </c>
      <c r="Q29" s="2" t="b">
        <v>0</v>
      </c>
      <c r="R29" s="57" t="s">
        <v>4191</v>
      </c>
      <c r="S29" s="2"/>
    </row>
    <row r="30" spans="3:19" ht="28">
      <c r="C30" s="2"/>
      <c r="J30" s="4">
        <v>20</v>
      </c>
      <c r="K30" s="20" t="s">
        <v>4192</v>
      </c>
      <c r="L30" s="20" t="s">
        <v>4193</v>
      </c>
      <c r="M30" s="20" t="s">
        <v>4171</v>
      </c>
      <c r="N30" s="2" t="s">
        <v>4194</v>
      </c>
      <c r="O30" s="2" t="s">
        <v>4195</v>
      </c>
      <c r="P30" s="21" t="str">
        <f>HYPERLINK("technohiker","technohiker")</f>
        <v>technohiker</v>
      </c>
      <c r="Q30" s="2" t="b">
        <v>0</v>
      </c>
      <c r="R30" s="57" t="s">
        <v>4196</v>
      </c>
      <c r="S30" s="2"/>
    </row>
    <row r="31" spans="3:19">
      <c r="C31" s="2"/>
      <c r="J31" s="4">
        <v>21</v>
      </c>
      <c r="K31" s="20" t="s">
        <v>4197</v>
      </c>
      <c r="L31" s="20" t="s">
        <v>4198</v>
      </c>
      <c r="M31" s="20" t="s">
        <v>4199</v>
      </c>
      <c r="N31" s="2"/>
      <c r="O31" s="2" t="s">
        <v>4200</v>
      </c>
      <c r="P31" s="21" t="str">
        <f>HYPERLINK("Vinzent03","Vinzent03")</f>
        <v>Vinzent03</v>
      </c>
      <c r="Q31" s="2" t="b">
        <v>0</v>
      </c>
      <c r="R31" s="57" t="s">
        <v>4201</v>
      </c>
      <c r="S31" s="2"/>
    </row>
    <row r="32" spans="3:19">
      <c r="C32" s="2"/>
      <c r="J32" s="4">
        <v>22</v>
      </c>
      <c r="K32" s="20" t="s">
        <v>4202</v>
      </c>
      <c r="L32" s="20" t="s">
        <v>4203</v>
      </c>
      <c r="M32" s="20" t="s">
        <v>4204</v>
      </c>
      <c r="N32" s="2" t="s">
        <v>4205</v>
      </c>
      <c r="O32" s="2" t="s">
        <v>4206</v>
      </c>
      <c r="P32" s="21" t="str">
        <f>HYPERLINK("zolrath","zolrath")</f>
        <v>zolrath</v>
      </c>
      <c r="Q32" s="2" t="b">
        <v>0</v>
      </c>
      <c r="R32" s="57" t="s">
        <v>4207</v>
      </c>
      <c r="S32" s="2"/>
    </row>
    <row r="33" spans="3:19" ht="42">
      <c r="C33" s="2"/>
      <c r="J33" s="4">
        <v>23</v>
      </c>
      <c r="K33" s="20" t="s">
        <v>4208</v>
      </c>
      <c r="L33" s="20" t="s">
        <v>4209</v>
      </c>
      <c r="M33" s="20" t="s">
        <v>4210</v>
      </c>
      <c r="N33" s="2" t="s">
        <v>4211</v>
      </c>
      <c r="O33" s="2" t="s">
        <v>4212</v>
      </c>
      <c r="P33" s="21" t="str">
        <f>HYPERLINK("obsidian-contextual-typography","obsidian-contextual-typography")</f>
        <v>obsidian-contextual-typography</v>
      </c>
      <c r="Q33" s="2" t="b">
        <v>0</v>
      </c>
      <c r="R33" s="57" t="s">
        <v>4213</v>
      </c>
      <c r="S33" s="2"/>
    </row>
    <row r="34" spans="3:19">
      <c r="C34" s="2"/>
      <c r="J34" s="4">
        <v>24</v>
      </c>
      <c r="K34" s="20" t="s">
        <v>4214</v>
      </c>
      <c r="L34" s="20" t="s">
        <v>4215</v>
      </c>
      <c r="M34" s="20" t="s">
        <v>4128</v>
      </c>
      <c r="N34" s="2" t="s">
        <v>4216</v>
      </c>
      <c r="O34" s="2" t="s">
        <v>4212</v>
      </c>
      <c r="P34" s="21" t="str">
        <f>HYPERLINK("obsidian-copy-block-link","obsidian-copy-block-link")</f>
        <v>obsidian-copy-block-link</v>
      </c>
      <c r="Q34" s="2" t="b">
        <v>0</v>
      </c>
      <c r="R34" s="57" t="s">
        <v>4217</v>
      </c>
      <c r="S34" s="2"/>
    </row>
    <row r="35" spans="3:19">
      <c r="C35" s="2"/>
      <c r="J35" s="4">
        <v>25</v>
      </c>
      <c r="K35" s="20" t="s">
        <v>4218</v>
      </c>
      <c r="L35" s="20" t="s">
        <v>4219</v>
      </c>
      <c r="M35" s="20" t="s">
        <v>4220</v>
      </c>
      <c r="N35" s="2"/>
      <c r="O35" s="2" t="s">
        <v>4221</v>
      </c>
      <c r="P35" s="21" t="str">
        <f>HYPERLINK("obsidian-emoji-toolbar","obsidian-emoji-toolbar")</f>
        <v>obsidian-emoji-toolbar</v>
      </c>
      <c r="Q35" s="2" t="b">
        <v>0</v>
      </c>
      <c r="R35" s="57" t="s">
        <v>4222</v>
      </c>
      <c r="S35" s="2"/>
    </row>
    <row r="36" spans="3:19">
      <c r="J36" s="4">
        <v>26</v>
      </c>
      <c r="K36" s="20" t="s">
        <v>4223</v>
      </c>
      <c r="L36" s="20" t="s">
        <v>4224</v>
      </c>
      <c r="M36" s="20" t="s">
        <v>4225</v>
      </c>
      <c r="N36" s="2" t="s">
        <v>4140</v>
      </c>
      <c r="O36" s="2" t="s">
        <v>4226</v>
      </c>
      <c r="P36" s="21" t="str">
        <f>HYPERLINK("alexisrondeau","alexisrondeau")</f>
        <v>alexisrondeau</v>
      </c>
      <c r="Q36" s="2" t="b">
        <v>0</v>
      </c>
      <c r="R36" s="57" t="s">
        <v>4227</v>
      </c>
      <c r="S36" s="2"/>
    </row>
    <row r="37" spans="3:19" ht="28">
      <c r="J37" s="4">
        <v>27</v>
      </c>
      <c r="K37" s="20" t="s">
        <v>4228</v>
      </c>
      <c r="L37" s="20" t="s">
        <v>4229</v>
      </c>
      <c r="M37" s="20" t="s">
        <v>4230</v>
      </c>
      <c r="N37" s="2" t="s">
        <v>4140</v>
      </c>
      <c r="O37" s="2" t="s">
        <v>4231</v>
      </c>
      <c r="P37" s="21" t="str">
        <f>HYPERLINK("Razumihin","Razumihin")</f>
        <v>Razumihin</v>
      </c>
      <c r="Q37" s="2" t="b">
        <v>0</v>
      </c>
      <c r="R37" s="57" t="s">
        <v>4232</v>
      </c>
      <c r="S37" s="2"/>
    </row>
    <row r="38" spans="3:19" ht="28">
      <c r="J38" s="4">
        <v>28</v>
      </c>
      <c r="K38" s="20" t="s">
        <v>4233</v>
      </c>
      <c r="L38" s="20" t="s">
        <v>4234</v>
      </c>
      <c r="M38" s="20" t="s">
        <v>4184</v>
      </c>
      <c r="N38" s="2"/>
      <c r="O38" s="2" t="s">
        <v>4200</v>
      </c>
      <c r="P38" s="21" t="str">
        <f>HYPERLINK("Vinzent03","Vinzent03")</f>
        <v>Vinzent03</v>
      </c>
      <c r="Q38" s="2" t="b">
        <v>0</v>
      </c>
      <c r="R38" s="57" t="s">
        <v>4235</v>
      </c>
      <c r="S38" s="2"/>
    </row>
    <row r="39" spans="3:19" ht="28">
      <c r="J39" s="4">
        <v>29</v>
      </c>
      <c r="K39" s="20" t="s">
        <v>4236</v>
      </c>
      <c r="L39" s="20" t="s">
        <v>4237</v>
      </c>
      <c r="M39" s="20" t="s">
        <v>4238</v>
      </c>
      <c r="N39" s="2" t="s">
        <v>4239</v>
      </c>
      <c r="O39" s="2" t="s">
        <v>4240</v>
      </c>
      <c r="P39" s="21" t="str">
        <f>HYPERLINK("nothingislost","nothingislost")</f>
        <v>nothingislost</v>
      </c>
      <c r="Q39" s="2" t="b">
        <v>0</v>
      </c>
      <c r="R39" s="57" t="s">
        <v>4241</v>
      </c>
      <c r="S39" s="2"/>
    </row>
    <row r="40" spans="3:19">
      <c r="J40" s="4">
        <v>30</v>
      </c>
      <c r="K40" s="20" t="s">
        <v>4242</v>
      </c>
      <c r="L40" s="20" t="s">
        <v>4243</v>
      </c>
      <c r="M40" s="20" t="s">
        <v>4244</v>
      </c>
      <c r="N40" s="2" t="s">
        <v>4100</v>
      </c>
      <c r="O40" s="2" t="s">
        <v>4168</v>
      </c>
      <c r="P40" s="21" t="str">
        <f>HYPERLINK("aidenlx","aidenlx")</f>
        <v>aidenlx</v>
      </c>
      <c r="Q40" s="2" t="b">
        <v>0</v>
      </c>
      <c r="R40" s="57" t="s">
        <v>4245</v>
      </c>
      <c r="S40" s="2"/>
    </row>
    <row r="41" spans="3:19" ht="28">
      <c r="J41" s="4">
        <v>31</v>
      </c>
      <c r="K41" s="20" t="s">
        <v>4246</v>
      </c>
      <c r="L41" s="20" t="s">
        <v>4247</v>
      </c>
      <c r="M41" s="20" t="s">
        <v>4248</v>
      </c>
      <c r="N41" s="2" t="s">
        <v>4129</v>
      </c>
      <c r="O41" s="2" t="s">
        <v>4249</v>
      </c>
      <c r="P41" s="21" t="str">
        <f>HYPERLINK("obsidian.md","obsidian.md")</f>
        <v>obsidian.md</v>
      </c>
      <c r="Q41" s="2" t="b">
        <v>0</v>
      </c>
      <c r="R41" s="57" t="s">
        <v>4250</v>
      </c>
      <c r="S41" s="2"/>
    </row>
    <row r="42" spans="3:19">
      <c r="J42" s="4">
        <v>32</v>
      </c>
      <c r="K42" s="20" t="s">
        <v>4251</v>
      </c>
      <c r="L42" s="20" t="s">
        <v>4252</v>
      </c>
      <c r="M42" s="20" t="s">
        <v>4253</v>
      </c>
      <c r="N42" s="2" t="s">
        <v>4100</v>
      </c>
      <c r="O42" s="2" t="s">
        <v>4212</v>
      </c>
      <c r="P42" s="21" t="str">
        <f>HYPERLINK("obsidian-kanban","obsidian-kanban")</f>
        <v>obsidian-kanban</v>
      </c>
      <c r="Q42" s="2" t="b">
        <v>0</v>
      </c>
      <c r="R42" s="57" t="s">
        <v>4254</v>
      </c>
      <c r="S42" s="2"/>
    </row>
    <row r="43" spans="3:19" ht="28">
      <c r="J43" s="4">
        <v>33</v>
      </c>
      <c r="K43" s="20" t="s">
        <v>4255</v>
      </c>
      <c r="L43" s="20" t="s">
        <v>4256</v>
      </c>
      <c r="M43" s="20" t="s">
        <v>4257</v>
      </c>
      <c r="N43" s="2" t="s">
        <v>4258</v>
      </c>
      <c r="O43" s="2" t="s">
        <v>4259</v>
      </c>
      <c r="P43" s="21" t="str">
        <f>HYPERLINK("hady.geek.nz","hady.geek.nz")</f>
        <v>hady.geek.nz</v>
      </c>
      <c r="Q43" s="2" t="b">
        <v>1</v>
      </c>
      <c r="R43" s="57" t="s">
        <v>4260</v>
      </c>
      <c r="S43" s="2"/>
    </row>
    <row r="44" spans="3:19">
      <c r="J44" s="4">
        <v>34</v>
      </c>
      <c r="K44" s="20" t="s">
        <v>4261</v>
      </c>
      <c r="L44" s="20" t="s">
        <v>4262</v>
      </c>
      <c r="M44" s="20" t="s">
        <v>4263</v>
      </c>
      <c r="N44" s="2" t="s">
        <v>4216</v>
      </c>
      <c r="O44" s="2" t="s">
        <v>4264</v>
      </c>
      <c r="P44" s="2"/>
      <c r="Q44" s="2" t="b">
        <v>0</v>
      </c>
      <c r="R44" s="57" t="s">
        <v>4265</v>
      </c>
      <c r="S44" s="2"/>
    </row>
    <row r="45" spans="3:19" ht="70">
      <c r="J45" s="4">
        <v>35</v>
      </c>
      <c r="K45" s="20" t="s">
        <v>4266</v>
      </c>
      <c r="L45" s="20" t="s">
        <v>4267</v>
      </c>
      <c r="M45" s="20" t="s">
        <v>4268</v>
      </c>
      <c r="N45" s="2" t="s">
        <v>4167</v>
      </c>
      <c r="O45" s="2" t="s">
        <v>4269</v>
      </c>
      <c r="P45" s="21" t="str">
        <f>HYPERLINK("platers","platers")</f>
        <v>platers</v>
      </c>
      <c r="Q45" s="2" t="b">
        <v>0</v>
      </c>
      <c r="R45" s="57" t="s">
        <v>4270</v>
      </c>
      <c r="S45" s="2"/>
    </row>
    <row r="46" spans="3:19">
      <c r="J46" s="4">
        <v>36</v>
      </c>
      <c r="K46" s="20" t="s">
        <v>4271</v>
      </c>
      <c r="L46" s="20" t="s">
        <v>4272</v>
      </c>
      <c r="M46" s="20" t="s">
        <v>4273</v>
      </c>
      <c r="N46" s="2" t="s">
        <v>4274</v>
      </c>
      <c r="O46" s="2" t="s">
        <v>4212</v>
      </c>
      <c r="P46" s="21" t="str">
        <f>HYPERLINK("obsidian-list-callouts","obsidian-list-callouts")</f>
        <v>obsidian-list-callouts</v>
      </c>
      <c r="Q46" s="2" t="b">
        <v>0</v>
      </c>
      <c r="R46" s="57" t="s">
        <v>4275</v>
      </c>
      <c r="S46" s="2"/>
    </row>
    <row r="47" spans="3:19" ht="42">
      <c r="J47" s="4">
        <v>37</v>
      </c>
      <c r="K47" s="20" t="s">
        <v>4276</v>
      </c>
      <c r="L47" s="20" t="s">
        <v>4277</v>
      </c>
      <c r="M47" s="20" t="s">
        <v>4278</v>
      </c>
      <c r="N47" s="2" t="s">
        <v>4279</v>
      </c>
      <c r="O47" s="2" t="s">
        <v>4280</v>
      </c>
      <c r="P47" s="21" t="str">
        <f>HYPERLINK("obsidian-local-images-plus","obsidian-local-images-plus")</f>
        <v>obsidian-local-images-plus</v>
      </c>
      <c r="Q47" s="2" t="b">
        <v>1</v>
      </c>
      <c r="R47" s="57" t="s">
        <v>4281</v>
      </c>
      <c r="S47" s="2"/>
    </row>
    <row r="48" spans="3:19" ht="28">
      <c r="J48" s="4">
        <v>38</v>
      </c>
      <c r="K48" s="20" t="s">
        <v>4282</v>
      </c>
      <c r="L48" s="20" t="s">
        <v>4283</v>
      </c>
      <c r="M48" s="20" t="s">
        <v>4284</v>
      </c>
      <c r="N48" s="2" t="s">
        <v>4106</v>
      </c>
      <c r="O48" s="2" t="s">
        <v>4285</v>
      </c>
      <c r="P48" s="21" t="str">
        <f>HYPERLINK("www.moritzjung.dev","www.moritzjung.dev")</f>
        <v>www.moritzjung.dev</v>
      </c>
      <c r="Q48" s="2" t="b">
        <v>0</v>
      </c>
      <c r="R48" s="57" t="s">
        <v>4286</v>
      </c>
      <c r="S48" s="2"/>
    </row>
    <row r="49" spans="10:19">
      <c r="J49" s="4">
        <v>39</v>
      </c>
      <c r="K49" s="20" t="s">
        <v>4287</v>
      </c>
      <c r="L49" s="20" t="s">
        <v>4288</v>
      </c>
      <c r="M49" s="20" t="s">
        <v>4289</v>
      </c>
      <c r="N49" s="2" t="s">
        <v>4290</v>
      </c>
      <c r="O49" s="2" t="s">
        <v>4291</v>
      </c>
      <c r="P49" s="21" t="str">
        <f>HYPERLINK("kepano","kepano")</f>
        <v>kepano</v>
      </c>
      <c r="Q49" s="2" t="b">
        <v>0</v>
      </c>
      <c r="R49" s="57" t="s">
        <v>4292</v>
      </c>
      <c r="S49" s="2"/>
    </row>
    <row r="50" spans="10:19">
      <c r="J50" s="4">
        <v>40</v>
      </c>
      <c r="K50" s="20" t="s">
        <v>4293</v>
      </c>
      <c r="L50" s="20" t="s">
        <v>4294</v>
      </c>
      <c r="M50" s="20" t="s">
        <v>4295</v>
      </c>
      <c r="N50" s="2" t="s">
        <v>4296</v>
      </c>
      <c r="O50" s="2" t="s">
        <v>4297</v>
      </c>
      <c r="P50" s="21" t="str">
        <f>HYPERLINK("vslinko","vslinko")</f>
        <v>vslinko</v>
      </c>
      <c r="Q50" s="2" t="b">
        <v>0</v>
      </c>
      <c r="R50" s="57" t="s">
        <v>4298</v>
      </c>
      <c r="S50" s="2"/>
    </row>
    <row r="51" spans="10:19">
      <c r="J51" s="4">
        <v>41</v>
      </c>
      <c r="K51" s="20" t="s">
        <v>4299</v>
      </c>
      <c r="L51" s="20" t="s">
        <v>4300</v>
      </c>
      <c r="M51" s="20" t="s">
        <v>4301</v>
      </c>
      <c r="N51" s="2" t="s">
        <v>4302</v>
      </c>
      <c r="O51" s="2" t="s">
        <v>4303</v>
      </c>
      <c r="P51" s="21" t="str">
        <f>HYPERLINK("hipstersmoothie","hipstersmoothie")</f>
        <v>hipstersmoothie</v>
      </c>
      <c r="Q51" s="2" t="b">
        <v>0</v>
      </c>
      <c r="R51" s="57" t="s">
        <v>4304</v>
      </c>
      <c r="S51" s="2"/>
    </row>
    <row r="52" spans="10:19" ht="56">
      <c r="J52" s="4">
        <v>42</v>
      </c>
      <c r="K52" s="20" t="s">
        <v>4305</v>
      </c>
      <c r="L52" s="20" t="s">
        <v>4306</v>
      </c>
      <c r="M52" s="20" t="s">
        <v>4307</v>
      </c>
      <c r="N52" s="2" t="s">
        <v>4106</v>
      </c>
      <c r="O52" s="2" t="s">
        <v>4308</v>
      </c>
      <c r="P52" s="21" t="str">
        <f>HYPERLINK("Taitava","Taitava")</f>
        <v>Taitava</v>
      </c>
      <c r="Q52" s="2" t="b">
        <v>1</v>
      </c>
      <c r="R52" s="57" t="s">
        <v>4309</v>
      </c>
      <c r="S52" s="2"/>
    </row>
    <row r="53" spans="10:19">
      <c r="J53" s="4">
        <v>43</v>
      </c>
      <c r="K53" s="20" t="s">
        <v>4310</v>
      </c>
      <c r="L53" s="20" t="s">
        <v>4311</v>
      </c>
      <c r="M53" s="20" t="s">
        <v>4105</v>
      </c>
      <c r="N53" s="2" t="s">
        <v>4312</v>
      </c>
      <c r="O53" s="2" t="s">
        <v>4313</v>
      </c>
      <c r="P53" s="21" t="str">
        <f>HYPERLINK("ravimashru.dev","ravimashru.dev")</f>
        <v>ravimashru.dev</v>
      </c>
      <c r="Q53" s="2" t="b">
        <v>0</v>
      </c>
      <c r="R53" s="57" t="s">
        <v>4314</v>
      </c>
      <c r="S53" s="2"/>
    </row>
    <row r="54" spans="10:19" ht="28">
      <c r="J54" s="4">
        <v>44</v>
      </c>
      <c r="K54" s="20" t="s">
        <v>4315</v>
      </c>
      <c r="L54" s="20" t="s">
        <v>4316</v>
      </c>
      <c r="M54" s="20" t="s">
        <v>4317</v>
      </c>
      <c r="N54" s="2" t="s">
        <v>4318</v>
      </c>
      <c r="O54" s="2" t="s">
        <v>4212</v>
      </c>
      <c r="P54" s="21" t="str">
        <f>HYPERLINK("obsidian-style-settings","obsidian-style-settings")</f>
        <v>obsidian-style-settings</v>
      </c>
      <c r="Q54" s="2" t="b">
        <v>0</v>
      </c>
      <c r="R54" s="57" t="s">
        <v>4319</v>
      </c>
      <c r="S54" s="2"/>
    </row>
    <row r="55" spans="10:19" ht="28">
      <c r="J55" s="4">
        <v>45</v>
      </c>
      <c r="K55" s="20" t="s">
        <v>4320</v>
      </c>
      <c r="L55" s="20" t="s">
        <v>4321</v>
      </c>
      <c r="M55" s="20" t="s">
        <v>4322</v>
      </c>
      <c r="N55" s="2" t="s">
        <v>4323</v>
      </c>
      <c r="O55" s="2" t="s">
        <v>4324</v>
      </c>
      <c r="P55" s="21" t="str">
        <f>HYPERLINK("metawops","metawops")</f>
        <v>metawops</v>
      </c>
      <c r="Q55" s="2" t="b">
        <v>0</v>
      </c>
      <c r="R55" s="57" t="s">
        <v>4325</v>
      </c>
      <c r="S55" s="2"/>
    </row>
    <row r="56" spans="10:19" ht="28">
      <c r="J56" s="4">
        <v>46</v>
      </c>
      <c r="K56" s="20" t="s">
        <v>4326</v>
      </c>
      <c r="L56" s="20" t="s">
        <v>4327</v>
      </c>
      <c r="M56" s="20" t="s">
        <v>4328</v>
      </c>
      <c r="N56" s="2" t="s">
        <v>4274</v>
      </c>
      <c r="O56" s="2" t="s">
        <v>4329</v>
      </c>
      <c r="P56" s="21" t="str">
        <f>HYPERLINK("obsidian-tasks-group","obsidian-tasks-group")</f>
        <v>obsidian-tasks-group</v>
      </c>
      <c r="Q56" s="2" t="b">
        <v>0</v>
      </c>
      <c r="R56" s="57" t="s">
        <v>4330</v>
      </c>
      <c r="S56" s="2"/>
    </row>
    <row r="57" spans="10:19" ht="42">
      <c r="J57" s="4">
        <v>47</v>
      </c>
      <c r="K57" s="20" t="s">
        <v>4331</v>
      </c>
      <c r="L57" s="20" t="s">
        <v>4332</v>
      </c>
      <c r="M57" s="20" t="s">
        <v>4333</v>
      </c>
      <c r="N57" s="2" t="s">
        <v>4244</v>
      </c>
      <c r="O57" s="2" t="s">
        <v>4334</v>
      </c>
      <c r="P57" s="21" t="str">
        <f>HYPERLINK("Benature","Benature")</f>
        <v>Benature</v>
      </c>
      <c r="Q57" s="2" t="b">
        <v>0</v>
      </c>
      <c r="R57" s="57" t="s">
        <v>4335</v>
      </c>
      <c r="S57" s="2"/>
    </row>
    <row r="58" spans="10:19">
      <c r="J58" s="4">
        <v>48</v>
      </c>
      <c r="K58" s="20" t="s">
        <v>4336</v>
      </c>
      <c r="L58" s="20" t="s">
        <v>3750</v>
      </c>
      <c r="M58" s="20" t="s">
        <v>4337</v>
      </c>
      <c r="N58" s="2" t="s">
        <v>4134</v>
      </c>
      <c r="O58" s="2" t="s">
        <v>4338</v>
      </c>
      <c r="P58" s="2"/>
      <c r="Q58" s="2" t="b">
        <v>0</v>
      </c>
      <c r="R58" s="57" t="s">
        <v>4339</v>
      </c>
      <c r="S58" s="2" t="s">
        <v>2516</v>
      </c>
    </row>
    <row r="59" spans="10:19" ht="28">
      <c r="J59" s="4">
        <v>49</v>
      </c>
      <c r="K59" s="20" t="s">
        <v>4340</v>
      </c>
      <c r="L59" s="20" t="s">
        <v>4341</v>
      </c>
      <c r="M59" s="20" t="s">
        <v>4225</v>
      </c>
      <c r="N59" s="2" t="s">
        <v>4342</v>
      </c>
      <c r="O59" s="2" t="s">
        <v>4343</v>
      </c>
      <c r="P59" s="2"/>
      <c r="Q59" s="2" t="b">
        <v>0</v>
      </c>
      <c r="R59" s="57" t="s">
        <v>4344</v>
      </c>
      <c r="S59" s="2"/>
    </row>
    <row r="60" spans="10:19" ht="28">
      <c r="J60" s="4">
        <v>50</v>
      </c>
      <c r="K60" s="20" t="s">
        <v>4345</v>
      </c>
      <c r="L60" s="20" t="s">
        <v>4346</v>
      </c>
      <c r="M60" s="20" t="s">
        <v>4347</v>
      </c>
      <c r="N60" s="2" t="s">
        <v>4129</v>
      </c>
      <c r="O60" s="2" t="s">
        <v>4348</v>
      </c>
      <c r="P60" s="21" t="str">
        <f>HYPERLINK("nqthqn.com","nqthqn.com")</f>
        <v>nqthqn.com</v>
      </c>
      <c r="Q60" s="2" t="b">
        <v>0</v>
      </c>
      <c r="R60" s="57" t="s">
        <v>4349</v>
      </c>
      <c r="S60" s="2"/>
    </row>
    <row r="61" spans="10:19">
      <c r="J61" s="4">
        <v>51</v>
      </c>
      <c r="K61" s="20" t="s">
        <v>4350</v>
      </c>
      <c r="L61" s="20" t="s">
        <v>4351</v>
      </c>
      <c r="M61" s="20" t="s">
        <v>4352</v>
      </c>
      <c r="N61" s="2" t="s">
        <v>4353</v>
      </c>
      <c r="O61" s="2" t="s">
        <v>4354</v>
      </c>
      <c r="P61" s="21" t="str">
        <f>HYPERLINK("obsidian42-brat","obsidian42-brat")</f>
        <v>obsidian42-brat</v>
      </c>
      <c r="Q61" s="2" t="b">
        <v>0</v>
      </c>
      <c r="R61" s="57" t="s">
        <v>4355</v>
      </c>
      <c r="S61" s="2"/>
    </row>
    <row r="62" spans="10:19" ht="28">
      <c r="J62" s="4">
        <v>52</v>
      </c>
      <c r="K62" s="20" t="s">
        <v>4356</v>
      </c>
      <c r="L62" s="20" t="s">
        <v>4357</v>
      </c>
      <c r="M62" s="20" t="s">
        <v>4156</v>
      </c>
      <c r="N62" s="2" t="s">
        <v>4353</v>
      </c>
      <c r="O62" s="2" t="s">
        <v>4358</v>
      </c>
      <c r="P62" s="21" t="str">
        <f>HYPERLINK("NomarCub","NomarCub")</f>
        <v>NomarCub</v>
      </c>
      <c r="Q62" s="2" t="b">
        <v>1</v>
      </c>
      <c r="R62" s="57" t="s">
        <v>4359</v>
      </c>
      <c r="S62" s="2"/>
    </row>
    <row r="63" spans="10:19" ht="28">
      <c r="J63" s="4">
        <v>53</v>
      </c>
      <c r="K63" s="20" t="s">
        <v>4360</v>
      </c>
      <c r="L63" s="20" t="s">
        <v>4361</v>
      </c>
      <c r="M63" s="20" t="s">
        <v>4362</v>
      </c>
      <c r="N63" s="2" t="s">
        <v>4239</v>
      </c>
      <c r="O63" s="2" t="s">
        <v>4363</v>
      </c>
      <c r="P63" s="21" t="str">
        <f>HYPERLINK("pjeby","pjeby")</f>
        <v>pjeby</v>
      </c>
      <c r="Q63" s="2" t="b">
        <v>1</v>
      </c>
      <c r="R63" s="57" t="s">
        <v>4364</v>
      </c>
      <c r="S63" s="2"/>
    </row>
    <row r="64" spans="10:19">
      <c r="J64" s="4">
        <v>54</v>
      </c>
      <c r="K64" s="20" t="s">
        <v>4365</v>
      </c>
      <c r="L64" s="20" t="s">
        <v>4366</v>
      </c>
      <c r="M64" s="20" t="s">
        <v>4367</v>
      </c>
      <c r="N64" s="2" t="s">
        <v>4123</v>
      </c>
      <c r="O64" s="2" t="s">
        <v>4185</v>
      </c>
      <c r="P64" s="21" t="str">
        <f>HYPERLINK("bagerbach.com","bagerbach.com")</f>
        <v>bagerbach.com</v>
      </c>
      <c r="Q64" s="2" t="b">
        <v>0</v>
      </c>
      <c r="R64" s="57" t="s">
        <v>4368</v>
      </c>
      <c r="S64" s="2"/>
    </row>
    <row r="65" spans="10:19">
      <c r="J65" s="4">
        <v>55</v>
      </c>
      <c r="K65" s="20" t="s">
        <v>4369</v>
      </c>
      <c r="L65" s="20" t="s">
        <v>4370</v>
      </c>
      <c r="M65" s="20" t="s">
        <v>4371</v>
      </c>
      <c r="N65" s="2" t="s">
        <v>4372</v>
      </c>
      <c r="O65" s="2" t="s">
        <v>4373</v>
      </c>
      <c r="P65" s="21" t="str">
        <f>HYPERLINK("grosinger.net","grosinger.net")</f>
        <v>grosinger.net</v>
      </c>
      <c r="Q65" s="2" t="b">
        <v>0</v>
      </c>
      <c r="R65" s="57" t="s">
        <v>4374</v>
      </c>
      <c r="S65" s="2"/>
    </row>
    <row r="66" spans="10:19">
      <c r="J66" s="4">
        <v>56</v>
      </c>
      <c r="K66" s="20" t="s">
        <v>4375</v>
      </c>
      <c r="L66" s="20" t="s">
        <v>4376</v>
      </c>
      <c r="M66" s="20" t="s">
        <v>4377</v>
      </c>
      <c r="N66" s="2" t="s">
        <v>4205</v>
      </c>
      <c r="O66" s="2" t="s">
        <v>4264</v>
      </c>
      <c r="P66" s="21" t="str">
        <f>HYPERLINK("valentine195","valentine195")</f>
        <v>valentine195</v>
      </c>
      <c r="Q66" s="2" t="b">
        <v>0</v>
      </c>
      <c r="R66" s="57" t="s">
        <v>4378</v>
      </c>
      <c r="S66" s="2"/>
    </row>
    <row r="67" spans="10:19" ht="28">
      <c r="J67" s="4">
        <v>57</v>
      </c>
      <c r="K67" s="20" t="s">
        <v>4379</v>
      </c>
      <c r="L67" s="20" t="s">
        <v>4380</v>
      </c>
      <c r="M67" s="20" t="s">
        <v>4381</v>
      </c>
      <c r="N67" s="2" t="s">
        <v>4382</v>
      </c>
      <c r="O67" s="2" t="s">
        <v>4383</v>
      </c>
      <c r="P67" s="21" t="str">
        <f>HYPERLINK("deathau","deathau")</f>
        <v>deathau</v>
      </c>
      <c r="Q67" s="2" t="b">
        <v>0</v>
      </c>
      <c r="R67" s="57" t="s">
        <v>4384</v>
      </c>
      <c r="S67" s="2"/>
    </row>
    <row r="68" spans="10:19">
      <c r="J68" s="4">
        <v>58</v>
      </c>
      <c r="K68" s="20" t="s">
        <v>4385</v>
      </c>
      <c r="L68" s="20" t="s">
        <v>4386</v>
      </c>
      <c r="M68" s="20" t="s">
        <v>4151</v>
      </c>
      <c r="N68" s="2" t="s">
        <v>4387</v>
      </c>
      <c r="O68" s="2" t="s">
        <v>4388</v>
      </c>
      <c r="P68" s="21" t="str">
        <f>HYPERLINK("erichall.io","erichall.io")</f>
        <v>erichall.io</v>
      </c>
      <c r="Q68" s="2" t="b">
        <v>0</v>
      </c>
      <c r="R68" s="57" t="s">
        <v>4389</v>
      </c>
      <c r="S68" s="2"/>
    </row>
    <row r="69" spans="10:19">
      <c r="J69" s="4">
        <v>59</v>
      </c>
      <c r="K69" s="20" t="s">
        <v>4390</v>
      </c>
      <c r="L69" s="20" t="s">
        <v>4391</v>
      </c>
      <c r="M69" s="20" t="s">
        <v>4392</v>
      </c>
      <c r="N69" s="2" t="s">
        <v>4100</v>
      </c>
      <c r="O69" s="2" t="s">
        <v>4373</v>
      </c>
      <c r="P69" s="21" t="str">
        <f>HYPERLINK("grosinger.net","grosinger.net")</f>
        <v>grosinger.net</v>
      </c>
      <c r="Q69" s="2" t="b">
        <v>0</v>
      </c>
      <c r="R69" s="57" t="s">
        <v>4393</v>
      </c>
      <c r="S69" s="2"/>
    </row>
    <row r="70" spans="10:19">
      <c r="J70" s="4">
        <v>60</v>
      </c>
      <c r="K70" s="20" t="s">
        <v>4394</v>
      </c>
      <c r="L70" s="20" t="s">
        <v>4395</v>
      </c>
      <c r="M70" s="20" t="s">
        <v>4184</v>
      </c>
      <c r="N70" s="2" t="s">
        <v>4100</v>
      </c>
      <c r="O70" s="2" t="s">
        <v>4157</v>
      </c>
      <c r="P70" s="21" t="str">
        <f>HYPERLINK("joethei","joethei")</f>
        <v>joethei</v>
      </c>
      <c r="Q70" s="2" t="b">
        <v>0</v>
      </c>
      <c r="R70" s="57" t="s">
        <v>4396</v>
      </c>
      <c r="S70" s="2"/>
    </row>
    <row r="71" spans="10:19">
      <c r="J71" s="4">
        <v>61</v>
      </c>
      <c r="K71" s="20" t="s">
        <v>4397</v>
      </c>
      <c r="L71" s="20" t="s">
        <v>4398</v>
      </c>
      <c r="M71" s="20" t="s">
        <v>4399</v>
      </c>
      <c r="N71" s="2" t="s">
        <v>4400</v>
      </c>
      <c r="O71" s="2" t="s">
        <v>4363</v>
      </c>
      <c r="P71" s="21" t="str">
        <f>HYPERLINK("pjeby","pjeby")</f>
        <v>pjeby</v>
      </c>
      <c r="Q71" s="2" t="b">
        <v>0</v>
      </c>
      <c r="R71" s="57" t="s">
        <v>4401</v>
      </c>
      <c r="S71" s="2"/>
    </row>
    <row r="72" spans="10:19">
      <c r="J72" s="4">
        <v>62</v>
      </c>
      <c r="K72" s="20" t="s">
        <v>4402</v>
      </c>
      <c r="L72" s="20" t="s">
        <v>4403</v>
      </c>
      <c r="M72" s="20" t="s">
        <v>4404</v>
      </c>
      <c r="N72" s="2" t="s">
        <v>4405</v>
      </c>
      <c r="O72" s="2" t="s">
        <v>4406</v>
      </c>
      <c r="P72" s="21" t="str">
        <f>HYPERLINK("SilentVoid13","SilentVoid13")</f>
        <v>SilentVoid13</v>
      </c>
      <c r="Q72" s="2" t="b">
        <v>0</v>
      </c>
      <c r="R72" s="57" t="s">
        <v>4407</v>
      </c>
      <c r="S72" s="2"/>
    </row>
    <row r="73" spans="10:19">
      <c r="J73" s="4">
        <v>63</v>
      </c>
      <c r="K73" s="20" t="s">
        <v>4408</v>
      </c>
      <c r="L73" s="20" t="s">
        <v>3624</v>
      </c>
      <c r="M73" s="20" t="s">
        <v>4409</v>
      </c>
      <c r="N73" s="2" t="s">
        <v>4100</v>
      </c>
      <c r="O73" s="2" t="s">
        <v>4410</v>
      </c>
      <c r="P73" s="21" t="str">
        <f>HYPERLINK("obsidian-todoist-plugin","obsidian-todoist-plugin")</f>
        <v>obsidian-todoist-plugin</v>
      </c>
      <c r="Q73" s="2" t="b">
        <v>0</v>
      </c>
      <c r="R73" s="57" t="s">
        <v>4411</v>
      </c>
      <c r="S73" s="2" t="s">
        <v>4412</v>
      </c>
    </row>
    <row r="74" spans="10:19">
      <c r="J74" s="4">
        <v>64</v>
      </c>
      <c r="K74" s="20" t="s">
        <v>4413</v>
      </c>
      <c r="L74" s="20" t="s">
        <v>4414</v>
      </c>
      <c r="M74" s="20" t="s">
        <v>4415</v>
      </c>
      <c r="N74" s="2"/>
      <c r="O74" s="2"/>
      <c r="P74" s="2"/>
      <c r="Q74" s="2" t="b">
        <v>0</v>
      </c>
      <c r="R74" s="57" t="s">
        <v>4416</v>
      </c>
      <c r="S74" s="2"/>
    </row>
    <row r="75" spans="10:19">
      <c r="J75" s="4">
        <v>65</v>
      </c>
      <c r="K75" s="20" t="s">
        <v>4417</v>
      </c>
      <c r="L75" s="20" t="s">
        <v>4418</v>
      </c>
      <c r="M75" s="20" t="s">
        <v>4419</v>
      </c>
      <c r="N75" s="2" t="s">
        <v>4129</v>
      </c>
      <c r="O75" s="2" t="s">
        <v>4420</v>
      </c>
      <c r="P75" s="21" t="str">
        <f>HYPERLINK("ozdemir08","ozdemir08")</f>
        <v>ozdemir08</v>
      </c>
      <c r="Q75" s="2" t="b">
        <v>0</v>
      </c>
      <c r="R75" s="57" t="s">
        <v>4421</v>
      </c>
      <c r="S75" s="2"/>
    </row>
    <row r="76" spans="10:19">
      <c r="J76" s="4">
        <v>66</v>
      </c>
      <c r="K76" s="20" t="s">
        <v>4422</v>
      </c>
      <c r="L76" s="20" t="s">
        <v>4423</v>
      </c>
      <c r="M76" s="20" t="s">
        <v>4100</v>
      </c>
      <c r="N76" s="2" t="s">
        <v>4129</v>
      </c>
      <c r="O76" s="2" t="s">
        <v>4424</v>
      </c>
      <c r="P76" s="21" t="str">
        <f>HYPERLINK("lstrzepek","lstrzepek")</f>
        <v>lstrzepek</v>
      </c>
      <c r="Q76" s="2" t="b">
        <v>0</v>
      </c>
      <c r="R76" s="57" t="s">
        <v>4425</v>
      </c>
      <c r="S76" s="2"/>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1CD5-FBCF-4C21-9282-D5B0B8F445B0}">
  <sheetPr>
    <tabColor rgb="FFFF0000"/>
  </sheetPr>
  <dimension ref="A1:E47"/>
  <sheetViews>
    <sheetView showGridLines="0" topLeftCell="A10" zoomScale="98" zoomScaleNormal="98" workbookViewId="0">
      <selection activeCell="A38" sqref="A38:A47"/>
    </sheetView>
  </sheetViews>
  <sheetFormatPr defaultColWidth="8.84375" defaultRowHeight="14.5" customHeight="1"/>
  <cols>
    <col min="1" max="1" width="48.3828125" style="65" customWidth="1"/>
    <col min="2" max="2" width="10.765625" style="61" customWidth="1"/>
    <col min="3" max="4" width="9.84375" style="61" customWidth="1"/>
    <col min="5" max="5" width="9.4609375" style="61" customWidth="1"/>
  </cols>
  <sheetData>
    <row r="1" spans="1:3" ht="14.5" customHeight="1">
      <c r="A1" s="261"/>
    </row>
    <row r="2" spans="1:3" ht="14.5" customHeight="1">
      <c r="A2" s="261"/>
      <c r="C2" s="61" t="s">
        <v>4598</v>
      </c>
    </row>
    <row r="3" spans="1:3" ht="14.5" customHeight="1">
      <c r="A3" s="261"/>
    </row>
    <row r="4" spans="1:3" ht="14.5" customHeight="1">
      <c r="A4" s="261"/>
    </row>
    <row r="5" spans="1:3" ht="14.5" customHeight="1">
      <c r="A5" s="262"/>
    </row>
    <row r="6" spans="1:3" ht="14.5" customHeight="1">
      <c r="A6" s="262"/>
    </row>
    <row r="7" spans="1:3" ht="14.5" customHeight="1">
      <c r="A7" s="262"/>
    </row>
    <row r="8" spans="1:3" ht="14.5" customHeight="1">
      <c r="A8" s="262"/>
    </row>
    <row r="9" spans="1:3" ht="14.5" customHeight="1">
      <c r="A9" s="262"/>
    </row>
    <row r="10" spans="1:3" ht="14.5" customHeight="1">
      <c r="A10" s="262"/>
    </row>
    <row r="11" spans="1:3" ht="14.5" customHeight="1">
      <c r="A11" s="262"/>
    </row>
    <row r="12" spans="1:3" ht="14.5" customHeight="1">
      <c r="A12" s="262"/>
    </row>
    <row r="13" spans="1:3" ht="14.5" customHeight="1">
      <c r="A13" s="262"/>
    </row>
    <row r="14" spans="1:3" ht="14.5" customHeight="1">
      <c r="A14" s="262"/>
    </row>
    <row r="15" spans="1:3" ht="14.5" customHeight="1">
      <c r="A15" s="262"/>
    </row>
    <row r="16" spans="1:3" ht="14.5" customHeight="1">
      <c r="A16" s="262"/>
    </row>
    <row r="20" spans="1:4" ht="14.5" customHeight="1">
      <c r="A20" s="66" t="s">
        <v>4448</v>
      </c>
      <c r="B20" s="67" t="s">
        <v>4450</v>
      </c>
    </row>
    <row r="21" spans="1:4" ht="14.5" customHeight="1">
      <c r="A21" s="65" t="s">
        <v>4566</v>
      </c>
      <c r="B21" s="61" t="b">
        <v>1</v>
      </c>
      <c r="D21" s="61" t="str">
        <f>IF(FulP,"True!","Not True!")</f>
        <v>True!</v>
      </c>
    </row>
    <row r="37" spans="1:3" ht="14.5" customHeight="1">
      <c r="A37" s="68" t="s">
        <v>4564</v>
      </c>
      <c r="B37" s="67" t="s">
        <v>4435</v>
      </c>
      <c r="C37" s="67" t="s">
        <v>5</v>
      </c>
    </row>
    <row r="38" spans="1:3" ht="14.5" customHeight="1">
      <c r="A38" s="65" t="s">
        <v>4446</v>
      </c>
      <c r="B38" s="62" t="s">
        <v>4436</v>
      </c>
      <c r="C38" s="69">
        <v>799</v>
      </c>
    </row>
    <row r="39" spans="1:3" ht="14.5" customHeight="1">
      <c r="A39" s="65" t="s">
        <v>4447</v>
      </c>
      <c r="B39" s="62" t="s">
        <v>4437</v>
      </c>
      <c r="C39" s="69">
        <v>2</v>
      </c>
    </row>
    <row r="40" spans="1:3" ht="14.5" customHeight="1">
      <c r="A40" s="65" t="s">
        <v>4428</v>
      </c>
      <c r="B40" s="62" t="s">
        <v>4438</v>
      </c>
      <c r="C40" s="69">
        <v>0</v>
      </c>
    </row>
    <row r="41" spans="1:3" ht="14.5" customHeight="1">
      <c r="A41" s="65" t="s">
        <v>4565</v>
      </c>
      <c r="B41" s="62" t="s">
        <v>4439</v>
      </c>
      <c r="C41" s="69">
        <v>797</v>
      </c>
    </row>
    <row r="42" spans="1:3" ht="14.5" customHeight="1">
      <c r="A42" s="65" t="s">
        <v>4429</v>
      </c>
      <c r="B42" s="62" t="s">
        <v>4440</v>
      </c>
      <c r="C42" s="69">
        <v>0</v>
      </c>
    </row>
    <row r="43" spans="1:3" ht="14.5" customHeight="1">
      <c r="A43" s="65" t="s">
        <v>4433</v>
      </c>
      <c r="B43" s="62" t="s">
        <v>4441</v>
      </c>
      <c r="C43" s="69">
        <v>764</v>
      </c>
    </row>
    <row r="44" spans="1:3" ht="14.5" customHeight="1">
      <c r="A44" s="65" t="s">
        <v>4434</v>
      </c>
      <c r="B44" s="62" t="s">
        <v>4442</v>
      </c>
      <c r="C44" s="69">
        <v>797</v>
      </c>
    </row>
    <row r="45" spans="1:3" ht="14.5" customHeight="1">
      <c r="A45" s="65" t="s">
        <v>4432</v>
      </c>
      <c r="B45" s="62" t="s">
        <v>4443</v>
      </c>
      <c r="C45" s="69">
        <v>4625</v>
      </c>
    </row>
    <row r="46" spans="1:3" ht="14.5" customHeight="1">
      <c r="A46" s="65" t="s">
        <v>4430</v>
      </c>
      <c r="B46" s="62" t="s">
        <v>4444</v>
      </c>
      <c r="C46" s="69">
        <v>742</v>
      </c>
    </row>
    <row r="47" spans="1:3" ht="14.5" customHeight="1">
      <c r="A47" s="65" t="s">
        <v>4431</v>
      </c>
      <c r="B47" s="62" t="s">
        <v>4445</v>
      </c>
      <c r="C47" s="69">
        <v>6407</v>
      </c>
    </row>
  </sheetData>
  <phoneticPr fontId="28" type="noConversion"/>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4EBE3-36AD-4A11-8BBF-FE14D52EE79D}">
  <sheetPr>
    <tabColor rgb="FFFF0000"/>
  </sheetPr>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33D1-92F5-49F1-A718-21086CA8A5EF}">
  <sheetPr>
    <tabColor rgb="FFFF0000"/>
  </sheetPr>
  <dimension ref="A1:AJ47"/>
  <sheetViews>
    <sheetView zoomScale="98" zoomScaleNormal="98" workbookViewId="0">
      <selection activeCell="G30" sqref="G30"/>
    </sheetView>
  </sheetViews>
  <sheetFormatPr defaultRowHeight="14"/>
  <cols>
    <col min="1" max="1" width="48.3828125" style="65" customWidth="1"/>
    <col min="2" max="2" width="10.765625" style="61" customWidth="1"/>
    <col min="3" max="4" width="9.84375" style="61" customWidth="1"/>
    <col min="5" max="5" width="9.4609375" style="61" customWidth="1"/>
    <col min="6" max="6" width="9.23046875" style="61" customWidth="1"/>
    <col min="7" max="7" width="8.61328125" style="61" customWidth="1"/>
    <col min="8" max="8" width="21.61328125" style="61" customWidth="1"/>
    <col min="9" max="15" width="10.69140625" style="61" customWidth="1"/>
    <col min="16" max="16" width="6.23046875" style="61" customWidth="1"/>
    <col min="17" max="17" width="8.61328125" style="61" customWidth="1"/>
    <col min="18" max="24" width="9.69140625" style="61" customWidth="1"/>
    <col min="25" max="25" width="4.23046875" style="61" customWidth="1"/>
    <col min="26" max="26" width="23.23046875" style="61" customWidth="1"/>
    <col min="27" max="16384" width="9.23046875" style="61"/>
  </cols>
  <sheetData>
    <row r="1" spans="1:26" ht="14.5">
      <c r="A1" s="261"/>
      <c r="J1" s="140">
        <v>0</v>
      </c>
      <c r="K1" s="140">
        <v>1</v>
      </c>
      <c r="L1" s="140">
        <v>2</v>
      </c>
      <c r="M1" s="140">
        <v>3</v>
      </c>
      <c r="N1" s="140">
        <v>4</v>
      </c>
      <c r="O1" s="140">
        <v>5</v>
      </c>
    </row>
    <row r="2" spans="1:26" ht="15" thickBot="1">
      <c r="A2" s="261"/>
      <c r="H2" s="61" t="s">
        <v>4480</v>
      </c>
      <c r="I2" s="61" t="s">
        <v>4479</v>
      </c>
      <c r="J2" s="62" t="s">
        <v>4488</v>
      </c>
      <c r="K2" s="63">
        <v>0.8</v>
      </c>
      <c r="L2" s="63">
        <v>0.6</v>
      </c>
      <c r="M2" s="63">
        <v>0.4</v>
      </c>
      <c r="N2" s="63">
        <v>0.25</v>
      </c>
      <c r="O2" s="63" t="s">
        <v>4513</v>
      </c>
    </row>
    <row r="3" spans="1:26" ht="14.5">
      <c r="A3" s="261"/>
      <c r="F3" s="61" t="s">
        <v>4501</v>
      </c>
      <c r="H3" s="128" t="s">
        <v>4550</v>
      </c>
      <c r="I3" s="129" t="s">
        <v>4504</v>
      </c>
      <c r="J3" s="141" t="s">
        <v>4468</v>
      </c>
      <c r="K3" s="142" t="s">
        <v>4490</v>
      </c>
      <c r="L3" s="143" t="s">
        <v>4491</v>
      </c>
      <c r="M3" s="144">
        <v>757575</v>
      </c>
      <c r="N3" s="208" t="s">
        <v>4494</v>
      </c>
      <c r="O3" s="145">
        <v>808080</v>
      </c>
      <c r="P3" s="64"/>
      <c r="Q3" s="61" t="str">
        <f t="shared" ref="Q3:Q13" si="0">quo&amp;I3&amp;quo</f>
        <v>"wht"</v>
      </c>
      <c r="R3" s="61" t="str">
        <f t="shared" ref="R3:R13" si="1">quo&amp;J3&amp;quo</f>
        <v>"FFFFFF"</v>
      </c>
      <c r="S3" s="61" t="str">
        <f t="shared" ref="S3:S13" si="2">quo&amp;K3&amp;quo</f>
        <v>"D3D3D3"</v>
      </c>
      <c r="T3" s="61" t="str">
        <f t="shared" ref="T3:T13" si="3">quo&amp;L3&amp;quo</f>
        <v>"B0B0B0"</v>
      </c>
      <c r="U3" s="61" t="str">
        <f t="shared" ref="U3:U13" si="4">quo&amp;M3&amp;quo</f>
        <v>"757575"</v>
      </c>
      <c r="V3" s="61" t="str">
        <f t="shared" ref="V3:V13" si="5">quo&amp;N3&amp;quo</f>
        <v>"A5A5A5"</v>
      </c>
      <c r="W3" s="61" t="str">
        <f t="shared" ref="W3:W13" si="6">quo&amp;O3&amp;quo</f>
        <v>"808080"</v>
      </c>
      <c r="Z3" s="61" t="b">
        <f>AI18=Q3&amp;" = ["&amp;R3&amp;", "&amp;S3&amp;", " &amp;T3&amp;", " &amp;U3&amp;", " &amp;V3&amp;", "&amp;W3&amp;"]"</f>
        <v>0</v>
      </c>
    </row>
    <row r="4" spans="1:26" ht="14.5">
      <c r="A4" s="261"/>
      <c r="H4" s="130" t="s">
        <v>4551</v>
      </c>
      <c r="I4" s="131" t="s">
        <v>4505</v>
      </c>
      <c r="J4" s="146" t="s">
        <v>4553</v>
      </c>
      <c r="K4" s="210" t="s">
        <v>4492</v>
      </c>
      <c r="L4" s="211">
        <v>595959</v>
      </c>
      <c r="M4" s="212" t="s">
        <v>4493</v>
      </c>
      <c r="N4" s="147">
        <v>262626</v>
      </c>
      <c r="O4" s="148" t="s">
        <v>4514</v>
      </c>
      <c r="P4" s="64"/>
      <c r="Q4" s="61" t="str">
        <f t="shared" si="0"/>
        <v>"blk"</v>
      </c>
      <c r="R4" s="61" t="str">
        <f t="shared" si="1"/>
        <v>"000000"</v>
      </c>
      <c r="S4" s="61" t="str">
        <f t="shared" si="2"/>
        <v>"7F7F7F"</v>
      </c>
      <c r="T4" s="61" t="str">
        <f t="shared" si="3"/>
        <v>"595959"</v>
      </c>
      <c r="U4" s="61" t="str">
        <f t="shared" si="4"/>
        <v>"3F3F3F"</v>
      </c>
      <c r="V4" s="61" t="str">
        <f t="shared" si="5"/>
        <v>"262626"</v>
      </c>
      <c r="W4" s="61" t="str">
        <f t="shared" si="6"/>
        <v>"0D0D0D"</v>
      </c>
      <c r="Z4" s="61" t="str">
        <f t="shared" ref="Z4:Z13" si="7">Q4&amp;" = ["&amp;R4&amp;", "&amp;S4&amp;", " &amp;T4&amp;", " &amp;U4&amp;", " &amp;V4&amp;", "&amp;W4&amp;"]"</f>
        <v>"blk" = ["000000", "7F7F7F", "595959", "3F3F3F", "262626", "0D0D0D"]</v>
      </c>
    </row>
    <row r="5" spans="1:26" ht="14.5">
      <c r="A5" s="262"/>
      <c r="H5" s="132" t="s">
        <v>4487</v>
      </c>
      <c r="I5" s="133" t="s">
        <v>4506</v>
      </c>
      <c r="J5" s="149" t="s">
        <v>4451</v>
      </c>
      <c r="K5" s="150" t="s">
        <v>4452</v>
      </c>
      <c r="L5" s="151" t="s">
        <v>4459</v>
      </c>
      <c r="M5" s="152" t="s">
        <v>4466</v>
      </c>
      <c r="N5" s="153" t="s">
        <v>4495</v>
      </c>
      <c r="O5" s="154" t="s">
        <v>4515</v>
      </c>
      <c r="P5" s="64"/>
      <c r="Q5" s="61" t="str">
        <f t="shared" si="0"/>
        <v>"aqu"</v>
      </c>
      <c r="R5" s="61" t="str">
        <f t="shared" si="1"/>
        <v>"1E5155"</v>
      </c>
      <c r="S5" s="61" t="str">
        <f t="shared" si="2"/>
        <v>"C4E7EA"</v>
      </c>
      <c r="T5" s="61" t="str">
        <f t="shared" si="3"/>
        <v>"8AD0D5"</v>
      </c>
      <c r="U5" s="61" t="str">
        <f t="shared" si="4"/>
        <v>"4FB8C1"</v>
      </c>
      <c r="V5" s="61" t="str">
        <f t="shared" si="5"/>
        <v>"163C3F"</v>
      </c>
      <c r="W5" s="61" t="str">
        <f t="shared" si="6"/>
        <v>"0F282B"</v>
      </c>
      <c r="Z5" s="61" t="str">
        <f t="shared" si="7"/>
        <v>"aqu" = ["1E5155", "C4E7EA", "8AD0D5", "4FB8C1", "163C3F", "0F282B"]</v>
      </c>
    </row>
    <row r="6" spans="1:26" ht="15" thickBot="1">
      <c r="A6" s="262"/>
      <c r="H6" s="134" t="s">
        <v>4481</v>
      </c>
      <c r="I6" s="102" t="s">
        <v>4507</v>
      </c>
      <c r="J6" s="155" t="s">
        <v>4474</v>
      </c>
      <c r="K6" s="156" t="s">
        <v>4453</v>
      </c>
      <c r="L6" s="157" t="s">
        <v>4460</v>
      </c>
      <c r="M6" s="209" t="s">
        <v>4467</v>
      </c>
      <c r="N6" s="158" t="s">
        <v>4496</v>
      </c>
      <c r="O6" s="159" t="s">
        <v>4516</v>
      </c>
      <c r="P6" s="64"/>
      <c r="Q6" s="61" t="str">
        <f t="shared" si="0"/>
        <v>"red"</v>
      </c>
      <c r="R6" s="61" t="str">
        <f t="shared" si="1"/>
        <v>"B01513"</v>
      </c>
      <c r="S6" s="61" t="str">
        <f t="shared" si="2"/>
        <v>"F8C6C6"</v>
      </c>
      <c r="T6" s="61" t="str">
        <f t="shared" si="3"/>
        <v>"F28E8D"</v>
      </c>
      <c r="U6" s="61" t="str">
        <f t="shared" si="4"/>
        <v>"EC5654"</v>
      </c>
      <c r="V6" s="61" t="str">
        <f t="shared" si="5"/>
        <v>"840F0E"</v>
      </c>
      <c r="W6" s="61" t="str">
        <f t="shared" si="6"/>
        <v>"580C0A"</v>
      </c>
      <c r="Z6" s="61" t="str">
        <f t="shared" si="7"/>
        <v>"red" = ["B01513", "F8C6C6", "F28E8D", "EC5654", "840F0E", "580C0A"]</v>
      </c>
    </row>
    <row r="7" spans="1:26" ht="15.5" thickTop="1" thickBot="1">
      <c r="A7" s="262"/>
      <c r="H7" s="135" t="s">
        <v>4482</v>
      </c>
      <c r="I7" s="103" t="s">
        <v>4508</v>
      </c>
      <c r="J7" s="160" t="s">
        <v>4475</v>
      </c>
      <c r="K7" s="161" t="s">
        <v>4454</v>
      </c>
      <c r="L7" s="162" t="s">
        <v>4461</v>
      </c>
      <c r="M7" s="163" t="s">
        <v>4502</v>
      </c>
      <c r="N7" s="164" t="s">
        <v>4497</v>
      </c>
      <c r="O7" s="165">
        <v>753109</v>
      </c>
      <c r="P7" s="64"/>
      <c r="Q7" s="61" t="str">
        <f t="shared" si="0"/>
        <v>"ora"</v>
      </c>
      <c r="R7" s="61" t="str">
        <f t="shared" si="1"/>
        <v>"EA6312"</v>
      </c>
      <c r="S7" s="61" t="str">
        <f t="shared" si="2"/>
        <v>"FBDFCF"</v>
      </c>
      <c r="T7" s="61" t="str">
        <f t="shared" si="3"/>
        <v>"F7C09F"</v>
      </c>
      <c r="U7" s="61" t="str">
        <f t="shared" si="4"/>
        <v>"F3A16F"</v>
      </c>
      <c r="V7" s="61" t="str">
        <f t="shared" si="5"/>
        <v>"AF4A0D"</v>
      </c>
      <c r="W7" s="61" t="str">
        <f t="shared" si="6"/>
        <v>"753109"</v>
      </c>
      <c r="Z7" s="61" t="str">
        <f t="shared" si="7"/>
        <v>"ora" = ["EA6312", "FBDFCF", "F7C09F", "F3A16F", "AF4A0D", "753109"]</v>
      </c>
    </row>
    <row r="8" spans="1:26" ht="15.5" thickTop="1" thickBot="1">
      <c r="A8" s="262"/>
      <c r="H8" s="199" t="s">
        <v>4483</v>
      </c>
      <c r="I8" s="200" t="s">
        <v>4509</v>
      </c>
      <c r="J8" s="201" t="s">
        <v>4476</v>
      </c>
      <c r="K8" s="166" t="s">
        <v>4455</v>
      </c>
      <c r="L8" s="167" t="s">
        <v>4462</v>
      </c>
      <c r="M8" s="168" t="s">
        <v>4469</v>
      </c>
      <c r="N8" s="169" t="s">
        <v>4498</v>
      </c>
      <c r="O8" s="170" t="s">
        <v>4519</v>
      </c>
      <c r="P8" s="64"/>
      <c r="Q8" s="61" t="str">
        <f t="shared" si="0"/>
        <v>"yel"</v>
      </c>
      <c r="R8" s="61" t="str">
        <f t="shared" si="1"/>
        <v>"E6B729"</v>
      </c>
      <c r="S8" s="61" t="str">
        <f t="shared" si="2"/>
        <v>"F9F0D4"</v>
      </c>
      <c r="T8" s="61" t="str">
        <f t="shared" si="3"/>
        <v>"F4E2A9"</v>
      </c>
      <c r="U8" s="61" t="str">
        <f t="shared" si="4"/>
        <v>"F0D37E"</v>
      </c>
      <c r="V8" s="61" t="str">
        <f t="shared" si="5"/>
        <v>"B58E15"</v>
      </c>
      <c r="W8" s="61" t="str">
        <f t="shared" si="6"/>
        <v>"7A600E"</v>
      </c>
      <c r="Z8" s="61" t="str">
        <f t="shared" si="7"/>
        <v>"yel" = ["E6B729", "F9F0D4", "F4E2A9", "F0D37E", "B58E15", "7A600E"]</v>
      </c>
    </row>
    <row r="9" spans="1:26" ht="15.5" thickTop="1" thickBot="1">
      <c r="A9" s="262"/>
      <c r="H9" s="202" t="s">
        <v>4484</v>
      </c>
      <c r="I9" s="203" t="s">
        <v>4543</v>
      </c>
      <c r="J9" s="204" t="s">
        <v>4477</v>
      </c>
      <c r="K9" s="171" t="s">
        <v>4456</v>
      </c>
      <c r="L9" s="172" t="s">
        <v>4463</v>
      </c>
      <c r="M9" s="173" t="s">
        <v>4470</v>
      </c>
      <c r="N9" s="174" t="s">
        <v>4499</v>
      </c>
      <c r="O9" s="175">
        <v>325848</v>
      </c>
      <c r="P9" s="64"/>
      <c r="Q9" s="61" t="str">
        <f t="shared" si="0"/>
        <v>"sea"</v>
      </c>
      <c r="R9" s="61" t="str">
        <f t="shared" si="1"/>
        <v>"6AAC90"</v>
      </c>
      <c r="S9" s="61" t="str">
        <f t="shared" si="2"/>
        <v>"E1EEE8"</v>
      </c>
      <c r="T9" s="61" t="str">
        <f t="shared" si="3"/>
        <v>"C3DDD2"</v>
      </c>
      <c r="U9" s="61" t="str">
        <f t="shared" si="4"/>
        <v>"A5CDBC"</v>
      </c>
      <c r="V9" s="61" t="str">
        <f t="shared" si="5"/>
        <v>"4A856C"</v>
      </c>
      <c r="W9" s="61" t="str">
        <f t="shared" si="6"/>
        <v>"325848"</v>
      </c>
      <c r="Z9" s="61" t="str">
        <f t="shared" si="7"/>
        <v>"sea" = ["6AAC90", "E1EEE8", "C3DDD2", "A5CDBC", "4A856C", "325848"]</v>
      </c>
    </row>
    <row r="10" spans="1:26" ht="15.5" thickTop="1" thickBot="1">
      <c r="A10" s="262"/>
      <c r="H10" s="136" t="s">
        <v>4485</v>
      </c>
      <c r="I10" s="104" t="s">
        <v>4528</v>
      </c>
      <c r="J10" s="176" t="s">
        <v>4473</v>
      </c>
      <c r="K10" s="177" t="s">
        <v>4457</v>
      </c>
      <c r="L10" s="178" t="s">
        <v>4464</v>
      </c>
      <c r="M10" s="179" t="s">
        <v>4471</v>
      </c>
      <c r="N10" s="180" t="s">
        <v>4500</v>
      </c>
      <c r="O10" s="181" t="s">
        <v>4517</v>
      </c>
      <c r="P10" s="64"/>
      <c r="Q10" s="61" t="str">
        <f t="shared" si="0"/>
        <v>"tea"</v>
      </c>
      <c r="R10" s="61" t="str">
        <f t="shared" si="1"/>
        <v>"54849A"</v>
      </c>
      <c r="S10" s="61" t="str">
        <f t="shared" si="2"/>
        <v>"DBE6EB"</v>
      </c>
      <c r="T10" s="61" t="str">
        <f t="shared" si="3"/>
        <v>"B8CED8"</v>
      </c>
      <c r="U10" s="61" t="str">
        <f t="shared" si="4"/>
        <v>"95B6C5"</v>
      </c>
      <c r="V10" s="61" t="str">
        <f t="shared" si="5"/>
        <v>"3F6373"</v>
      </c>
      <c r="W10" s="61" t="str">
        <f t="shared" si="6"/>
        <v>"29424E"</v>
      </c>
      <c r="Z10" s="61" t="str">
        <f t="shared" si="7"/>
        <v>"tea" = ["54849A", "DBE6EB", "B8CED8", "95B6C5", "3F6373", "29424E"]</v>
      </c>
    </row>
    <row r="11" spans="1:26" ht="15.5" thickTop="1" thickBot="1">
      <c r="A11" s="262"/>
      <c r="H11" s="137" t="s">
        <v>4486</v>
      </c>
      <c r="I11" s="105" t="s">
        <v>4512</v>
      </c>
      <c r="J11" s="182" t="s">
        <v>4478</v>
      </c>
      <c r="K11" s="183" t="s">
        <v>4458</v>
      </c>
      <c r="L11" s="184" t="s">
        <v>4465</v>
      </c>
      <c r="M11" s="185" t="s">
        <v>4472</v>
      </c>
      <c r="N11" s="186">
        <v>764674</v>
      </c>
      <c r="O11" s="187" t="s">
        <v>4518</v>
      </c>
      <c r="P11" s="64"/>
      <c r="Q11" s="61" t="str">
        <f t="shared" si="0"/>
        <v>"pur"</v>
      </c>
      <c r="R11" s="61" t="str">
        <f t="shared" si="1"/>
        <v>"9E5E9B"</v>
      </c>
      <c r="S11" s="61" t="str">
        <f t="shared" si="2"/>
        <v>"EBDEEB"</v>
      </c>
      <c r="T11" s="61" t="str">
        <f t="shared" si="3"/>
        <v>"D8BED7"</v>
      </c>
      <c r="U11" s="61" t="str">
        <f t="shared" si="4"/>
        <v>"C59DC3"</v>
      </c>
      <c r="V11" s="61" t="str">
        <f t="shared" si="5"/>
        <v>"764674"</v>
      </c>
      <c r="W11" s="61" t="str">
        <f t="shared" si="6"/>
        <v>"4F2F4E"</v>
      </c>
      <c r="Z11" s="61" t="str">
        <f t="shared" si="7"/>
        <v>"pur" = ["9E5E9B", "EBDEEB", "D8BED7", "C59DC3", "764674", "4F2F4E"]</v>
      </c>
    </row>
    <row r="12" spans="1:26" ht="15" thickTop="1">
      <c r="A12" s="262"/>
      <c r="H12" s="138" t="s">
        <v>4527</v>
      </c>
      <c r="I12" s="139" t="s">
        <v>4511</v>
      </c>
      <c r="J12" s="188" t="s">
        <v>4552</v>
      </c>
      <c r="K12" s="189" t="s">
        <v>4520</v>
      </c>
      <c r="L12" s="190" t="s">
        <v>4523</v>
      </c>
      <c r="M12" s="191" t="s">
        <v>4526</v>
      </c>
      <c r="N12" s="192" t="s">
        <v>4524</v>
      </c>
      <c r="O12" s="193" t="s">
        <v>4525</v>
      </c>
      <c r="Q12" s="61" t="str">
        <f t="shared" si="0"/>
        <v>"blu"</v>
      </c>
      <c r="R12" s="61" t="str">
        <f t="shared" si="1"/>
        <v>"4169E1"</v>
      </c>
      <c r="S12" s="61" t="str">
        <f t="shared" si="2"/>
        <v>"DADDF6"</v>
      </c>
      <c r="T12" s="61" t="str">
        <f t="shared" si="3"/>
        <v>"AFB5EB"</v>
      </c>
      <c r="U12" s="61" t="str">
        <f t="shared" si="4"/>
        <v>"7C85DE"</v>
      </c>
      <c r="V12" s="61" t="str">
        <f t="shared" si="5"/>
        <v>"2E3BB4"</v>
      </c>
      <c r="W12" s="61" t="str">
        <f t="shared" si="6"/>
        <v>"212A83"</v>
      </c>
      <c r="Z12" s="61" t="str">
        <f t="shared" si="7"/>
        <v>"blu" = ["4169E1", "DADDF6", "AFB5EB", "7C85DE", "2E3BB4", "212A83"]</v>
      </c>
    </row>
    <row r="13" spans="1:26" ht="15" thickBot="1">
      <c r="A13" s="262"/>
      <c r="H13" s="206" t="s">
        <v>4535</v>
      </c>
      <c r="I13" s="207" t="s">
        <v>4510</v>
      </c>
      <c r="J13" s="213" t="s">
        <v>4541</v>
      </c>
      <c r="K13" s="194" t="s">
        <v>4536</v>
      </c>
      <c r="L13" s="195" t="s">
        <v>4537</v>
      </c>
      <c r="M13" s="196" t="s">
        <v>4538</v>
      </c>
      <c r="N13" s="197" t="s">
        <v>4539</v>
      </c>
      <c r="O13" s="198" t="s">
        <v>4540</v>
      </c>
      <c r="Q13" s="61" t="str">
        <f t="shared" si="0"/>
        <v>"grn"</v>
      </c>
      <c r="R13" s="61" t="str">
        <f t="shared" si="1"/>
        <v>"57BF70"</v>
      </c>
      <c r="S13" s="61" t="str">
        <f t="shared" si="2"/>
        <v>"B1E1BC"</v>
      </c>
      <c r="T13" s="61" t="str">
        <f t="shared" si="3"/>
        <v>"B6E4C1"</v>
      </c>
      <c r="U13" s="61" t="str">
        <f t="shared" si="4"/>
        <v>"8AD29B"</v>
      </c>
      <c r="V13" s="61" t="str">
        <f t="shared" si="5"/>
        <v>"2C763E"</v>
      </c>
      <c r="W13" s="61" t="str">
        <f t="shared" si="6"/>
        <v>"1D4B28"</v>
      </c>
      <c r="Z13" s="61" t="str">
        <f t="shared" si="7"/>
        <v>"grn" = ["57BF70", "B1E1BC", "B6E4C1", "8AD29B", "2C763E", "1D4B28"]</v>
      </c>
    </row>
    <row r="14" spans="1:26" ht="14.5">
      <c r="A14" s="262"/>
      <c r="H14" s="61" t="s">
        <v>4489</v>
      </c>
      <c r="I14" s="205" t="s">
        <v>4555</v>
      </c>
    </row>
    <row r="15" spans="1:26" ht="14.5">
      <c r="A15" s="262"/>
    </row>
    <row r="16" spans="1:26">
      <c r="H16" s="61" t="s">
        <v>4554</v>
      </c>
      <c r="I16" s="61" t="s">
        <v>4503</v>
      </c>
      <c r="J16" s="61" t="s">
        <v>4503</v>
      </c>
      <c r="K16" s="61" t="s">
        <v>4503</v>
      </c>
      <c r="L16" s="61" t="s">
        <v>4503</v>
      </c>
      <c r="M16" s="61" t="s">
        <v>4503</v>
      </c>
      <c r="N16" s="61" t="s">
        <v>4503</v>
      </c>
      <c r="T16" s="61">
        <v>0</v>
      </c>
      <c r="U16" s="61">
        <v>1</v>
      </c>
      <c r="V16" s="61">
        <v>2</v>
      </c>
      <c r="W16" s="61">
        <v>3</v>
      </c>
      <c r="X16" s="61">
        <v>4</v>
      </c>
      <c r="Z16" s="127" t="s">
        <v>4549</v>
      </c>
    </row>
    <row r="17" spans="1:36" ht="14.5" thickBot="1">
      <c r="S17" s="62" t="s">
        <v>4544</v>
      </c>
      <c r="Z17" s="60"/>
    </row>
    <row r="18" spans="1:36" ht="15.5" thickTop="1">
      <c r="R18" s="61" t="s">
        <v>4546</v>
      </c>
      <c r="S18" s="120" t="s">
        <v>4545</v>
      </c>
      <c r="Z18">
        <v>0</v>
      </c>
      <c r="AA18" s="61">
        <v>8</v>
      </c>
      <c r="AB18" s="61">
        <v>9</v>
      </c>
      <c r="AC18" s="61">
        <v>10</v>
      </c>
      <c r="AD18" s="61">
        <v>11</v>
      </c>
      <c r="AE18" s="61">
        <v>12</v>
      </c>
      <c r="AF18" s="61">
        <v>13</v>
      </c>
      <c r="AG18" s="61">
        <v>14</v>
      </c>
      <c r="AI18" s="61" t="str">
        <f>quo&amp;Z18&amp;quo&amp;": ["&amp;quo&amp;AA18&amp;quo&amp;", "&amp;quo&amp;AB18&amp;quo&amp;", " &amp;quo&amp;AC18&amp;quo&amp;", " &amp;quo&amp;AD18&amp;quo&amp;", " &amp;quo&amp;AE18&amp;quo&amp;", "&amp;quo&amp;AF18&amp;quo&amp;", "&amp;quo&amp;AG18&amp;quo&amp;"]"</f>
        <v>"0": ["8", "9", "10", "11", "12", "13", "14"]</v>
      </c>
      <c r="AJ18"/>
    </row>
    <row r="19" spans="1:36" ht="15.5" thickBot="1">
      <c r="P19" s="107" t="s">
        <v>4520</v>
      </c>
      <c r="S19" s="121">
        <v>0</v>
      </c>
      <c r="Z19">
        <v>1</v>
      </c>
      <c r="AA19" s="61">
        <v>1</v>
      </c>
      <c r="AB19" s="61">
        <v>2</v>
      </c>
      <c r="AC19" s="61">
        <v>3</v>
      </c>
      <c r="AD19" s="61">
        <v>4</v>
      </c>
      <c r="AE19" s="61">
        <v>5</v>
      </c>
      <c r="AF19" s="61">
        <v>6</v>
      </c>
      <c r="AG19" s="61">
        <v>7</v>
      </c>
      <c r="AH19"/>
      <c r="AI19" s="61" t="str">
        <f>quo&amp;Z19&amp;quo&amp;": ["&amp;quo&amp;AA19&amp;quo&amp;", "&amp;quo&amp;AB19&amp;quo&amp;", " &amp;quo&amp;AC19&amp;quo&amp;", " &amp;quo&amp;AD19&amp;quo&amp;", " &amp;quo&amp;AE19&amp;quo&amp;", "&amp;quo&amp;AF19&amp;quo&amp;", "&amp;quo&amp;AG19&amp;quo&amp;"]"</f>
        <v>"1": ["1", "2", "3", "4", "5", "6", "7"]</v>
      </c>
      <c r="AJ19"/>
    </row>
    <row r="20" spans="1:36" ht="16" thickTop="1" thickBot="1">
      <c r="A20" s="66" t="s">
        <v>4448</v>
      </c>
      <c r="B20" s="67" t="s">
        <v>4450</v>
      </c>
      <c r="H20" s="70"/>
      <c r="I20" s="71"/>
      <c r="J20" s="77"/>
      <c r="K20" s="83"/>
      <c r="L20" s="89"/>
      <c r="M20" s="95"/>
      <c r="O20" s="106" t="s">
        <v>4521</v>
      </c>
      <c r="S20" s="62"/>
      <c r="Z20">
        <v>2</v>
      </c>
      <c r="AA20" s="61">
        <v>8</v>
      </c>
      <c r="AB20" s="61">
        <v>9</v>
      </c>
      <c r="AC20" s="61">
        <v>10</v>
      </c>
      <c r="AD20" s="61">
        <v>11</v>
      </c>
      <c r="AE20" s="61">
        <v>12</v>
      </c>
      <c r="AF20" s="61">
        <v>13</v>
      </c>
      <c r="AG20" s="61">
        <v>14</v>
      </c>
      <c r="AH20"/>
      <c r="AI20" s="61" t="str">
        <f>quo&amp;Z20&amp;quo&amp;": ["&amp;quo&amp;AA20&amp;quo&amp;", "&amp;quo&amp;AB20&amp;quo&amp;", " &amp;quo&amp;AC20&amp;quo&amp;", " &amp;quo&amp;AD20&amp;quo&amp;", " &amp;quo&amp;AE20&amp;quo&amp;", "&amp;quo&amp;AF20&amp;quo&amp;", "&amp;quo&amp;AG20&amp;quo&amp;"]"</f>
        <v>"2": ["8", "9", "10", "11", "12", "13", "14"]</v>
      </c>
      <c r="AJ20"/>
    </row>
    <row r="21" spans="1:36" ht="15.5" thickTop="1">
      <c r="A21" s="65" t="s">
        <v>4449</v>
      </c>
      <c r="B21" s="61" t="b">
        <v>1</v>
      </c>
      <c r="D21" s="61" t="str">
        <f>IF(FP,"True!","Not True!")</f>
        <v>True!</v>
      </c>
      <c r="F21"/>
      <c r="G21"/>
      <c r="H21" s="101"/>
      <c r="I21" s="72"/>
      <c r="J21" s="78"/>
      <c r="K21" s="84"/>
      <c r="L21" s="90"/>
      <c r="M21" s="96"/>
      <c r="R21" s="61" t="s">
        <v>4547</v>
      </c>
      <c r="S21" s="120" t="s">
        <v>4545</v>
      </c>
      <c r="Z21">
        <v>3</v>
      </c>
      <c r="AA21" s="61">
        <v>15</v>
      </c>
      <c r="AB21" s="61">
        <v>16</v>
      </c>
      <c r="AC21" s="61">
        <v>17</v>
      </c>
      <c r="AD21" s="61">
        <v>18</v>
      </c>
      <c r="AE21" s="61">
        <v>19</v>
      </c>
      <c r="AF21" s="61">
        <v>20</v>
      </c>
      <c r="AG21" s="61">
        <v>21</v>
      </c>
      <c r="AH21"/>
      <c r="AI21" s="61" t="str">
        <f>quo&amp;Z21&amp;quo&amp;": ["&amp;quo&amp;AA21&amp;quo&amp;", "&amp;quo&amp;AB21&amp;quo&amp;", " &amp;quo&amp;AC21&amp;quo&amp;", " &amp;quo&amp;AD21&amp;quo&amp;", " &amp;quo&amp;AE21&amp;quo&amp;", "&amp;quo&amp;AF21&amp;quo&amp;", "&amp;quo&amp;AG21&amp;quo&amp;"]"</f>
        <v>"3": ["15", "16", "17", "18", "19", "20", "21"]</v>
      </c>
      <c r="AJ21"/>
    </row>
    <row r="22" spans="1:36" ht="15.5" thickBot="1">
      <c r="F22"/>
      <c r="G22"/>
      <c r="H22"/>
      <c r="I22" s="73"/>
      <c r="J22" s="79"/>
      <c r="K22" s="85"/>
      <c r="L22" s="91"/>
      <c r="M22" s="97"/>
      <c r="S22" s="122">
        <v>1</v>
      </c>
      <c r="Z22">
        <v>4</v>
      </c>
      <c r="AA22" s="61">
        <v>1</v>
      </c>
      <c r="AB22" s="61">
        <v>2</v>
      </c>
      <c r="AC22" s="61">
        <v>3</v>
      </c>
      <c r="AD22" s="61">
        <v>4</v>
      </c>
      <c r="AE22" s="61">
        <v>5</v>
      </c>
      <c r="AF22" s="61">
        <v>6</v>
      </c>
      <c r="AG22" s="61">
        <v>7</v>
      </c>
      <c r="AH22"/>
      <c r="AI22" s="61" t="str">
        <f>quo&amp;Z22&amp;quo&amp;": ["&amp;quo&amp;AA22&amp;quo&amp;", "&amp;quo&amp;AB22&amp;quo&amp;", " &amp;quo&amp;AC22&amp;quo&amp;", " &amp;quo&amp;AD22&amp;quo&amp;", " &amp;quo&amp;AE22&amp;quo&amp;", "&amp;quo&amp;AF22&amp;quo&amp;", "&amp;quo&amp;AG22&amp;quo&amp;"]"</f>
        <v>"4": ["1", "2", "3", "4", "5", "6", "7"]</v>
      </c>
      <c r="AJ22"/>
    </row>
    <row r="23" spans="1:36" ht="16" thickTop="1" thickBot="1">
      <c r="F23"/>
      <c r="G23"/>
      <c r="H23"/>
      <c r="I23" s="74"/>
      <c r="J23" s="80"/>
      <c r="K23" s="86"/>
      <c r="L23" s="92"/>
      <c r="M23" s="98"/>
      <c r="S23" s="62"/>
      <c r="Z23"/>
      <c r="AG23"/>
      <c r="AH23"/>
      <c r="AI23"/>
      <c r="AJ23"/>
    </row>
    <row r="24" spans="1:36" ht="15.5" thickTop="1">
      <c r="H24"/>
      <c r="I24" s="75"/>
      <c r="J24" s="81"/>
      <c r="K24" s="87"/>
      <c r="L24" s="93"/>
      <c r="M24" s="99"/>
      <c r="S24" s="123" t="s">
        <v>4545</v>
      </c>
      <c r="Z24"/>
      <c r="AG24"/>
      <c r="AH24"/>
      <c r="AI24"/>
      <c r="AJ24"/>
    </row>
    <row r="25" spans="1:36" ht="15.5" thickBot="1">
      <c r="I25" s="76"/>
      <c r="J25" s="82"/>
      <c r="K25" s="88"/>
      <c r="L25" s="94"/>
      <c r="M25" s="100"/>
      <c r="S25" s="122">
        <v>2</v>
      </c>
      <c r="Z25"/>
      <c r="AG25"/>
      <c r="AH25"/>
      <c r="AI25"/>
      <c r="AJ25"/>
    </row>
    <row r="26" spans="1:36" ht="16" thickTop="1" thickBot="1">
      <c r="G26" s="113" t="s">
        <v>4529</v>
      </c>
      <c r="H26" s="110" t="s">
        <v>4522</v>
      </c>
      <c r="I26" s="107" t="s">
        <v>4520</v>
      </c>
      <c r="J26" s="108" t="s">
        <v>4523</v>
      </c>
      <c r="K26" s="109" t="s">
        <v>4526</v>
      </c>
      <c r="L26" s="112" t="s">
        <v>4524</v>
      </c>
      <c r="M26" s="111" t="s">
        <v>4525</v>
      </c>
      <c r="S26" s="62"/>
      <c r="Z26"/>
      <c r="AG26"/>
      <c r="AH26"/>
      <c r="AI26"/>
      <c r="AJ26"/>
    </row>
    <row r="27" spans="1:36" ht="15.5" thickTop="1">
      <c r="H27" s="113" t="s">
        <v>4529</v>
      </c>
      <c r="I27" s="114" t="s">
        <v>4530</v>
      </c>
      <c r="J27" s="116" t="s">
        <v>4532</v>
      </c>
      <c r="K27" s="115" t="s">
        <v>4531</v>
      </c>
      <c r="L27" s="117" t="s">
        <v>4534</v>
      </c>
      <c r="M27" s="118" t="s">
        <v>4533</v>
      </c>
      <c r="S27" s="124" t="s">
        <v>4545</v>
      </c>
      <c r="Z27"/>
      <c r="AG27"/>
      <c r="AH27"/>
      <c r="AI27"/>
      <c r="AJ27"/>
    </row>
    <row r="28" spans="1:36" ht="15.5" thickBot="1">
      <c r="H28" s="119" t="s">
        <v>4542</v>
      </c>
      <c r="S28" s="121">
        <v>3</v>
      </c>
      <c r="Z28"/>
      <c r="AG28"/>
      <c r="AH28"/>
      <c r="AI28"/>
      <c r="AJ28"/>
    </row>
    <row r="29" spans="1:36" ht="16" thickTop="1" thickBot="1">
      <c r="Z29"/>
      <c r="AG29"/>
      <c r="AH29"/>
      <c r="AI29"/>
      <c r="AJ29"/>
    </row>
    <row r="30" spans="1:36" ht="15.5" thickTop="1">
      <c r="R30" s="61" t="s">
        <v>4548</v>
      </c>
      <c r="S30" s="125" t="s">
        <v>4545</v>
      </c>
      <c r="Z30"/>
      <c r="AG30"/>
      <c r="AH30"/>
      <c r="AI30"/>
      <c r="AJ30"/>
    </row>
    <row r="31" spans="1:36" ht="14.5" thickBot="1">
      <c r="S31" s="126">
        <v>4</v>
      </c>
    </row>
    <row r="32" spans="1:36" ht="14.5" thickTop="1"/>
    <row r="37" spans="1:3">
      <c r="A37" s="68" t="s">
        <v>4564</v>
      </c>
      <c r="B37" s="67" t="s">
        <v>4435</v>
      </c>
      <c r="C37" s="67" t="s">
        <v>5</v>
      </c>
    </row>
    <row r="38" spans="1:3">
      <c r="A38" s="65" t="s">
        <v>4446</v>
      </c>
      <c r="B38" s="62" t="s">
        <v>4436</v>
      </c>
      <c r="C38" s="69">
        <v>799</v>
      </c>
    </row>
    <row r="39" spans="1:3">
      <c r="A39" s="65" t="s">
        <v>4447</v>
      </c>
      <c r="B39" s="62" t="s">
        <v>4437</v>
      </c>
      <c r="C39" s="69">
        <v>2</v>
      </c>
    </row>
    <row r="40" spans="1:3">
      <c r="A40" s="65" t="s">
        <v>4428</v>
      </c>
      <c r="B40" s="62" t="s">
        <v>4438</v>
      </c>
      <c r="C40" s="69">
        <v>0</v>
      </c>
    </row>
    <row r="41" spans="1:3">
      <c r="A41" s="65" t="s">
        <v>4565</v>
      </c>
      <c r="B41" s="62" t="s">
        <v>4439</v>
      </c>
      <c r="C41" s="69">
        <v>797</v>
      </c>
    </row>
    <row r="42" spans="1:3">
      <c r="A42" s="65" t="s">
        <v>4429</v>
      </c>
      <c r="B42" s="62" t="s">
        <v>4440</v>
      </c>
      <c r="C42" s="69">
        <v>0</v>
      </c>
    </row>
    <row r="43" spans="1:3">
      <c r="A43" s="65" t="s">
        <v>4433</v>
      </c>
      <c r="B43" s="62" t="s">
        <v>4441</v>
      </c>
      <c r="C43" s="69">
        <v>764</v>
      </c>
    </row>
    <row r="44" spans="1:3">
      <c r="A44" s="65" t="s">
        <v>4434</v>
      </c>
      <c r="B44" s="62" t="s">
        <v>4442</v>
      </c>
      <c r="C44" s="69">
        <v>797</v>
      </c>
    </row>
    <row r="45" spans="1:3">
      <c r="A45" s="65" t="s">
        <v>4432</v>
      </c>
      <c r="B45" s="62" t="s">
        <v>4443</v>
      </c>
      <c r="C45" s="69">
        <v>4625</v>
      </c>
    </row>
    <row r="46" spans="1:3">
      <c r="A46" s="65" t="s">
        <v>4430</v>
      </c>
      <c r="B46" s="62" t="s">
        <v>4444</v>
      </c>
      <c r="C46" s="69">
        <v>742</v>
      </c>
    </row>
    <row r="47" spans="1:3">
      <c r="A47" s="65" t="s">
        <v>4431</v>
      </c>
      <c r="B47" s="62" t="s">
        <v>4445</v>
      </c>
      <c r="C47" s="69">
        <v>6407</v>
      </c>
    </row>
  </sheetData>
  <pageMargins left="0.7" right="0.7" top="0.75" bottom="0.75" header="0.3" footer="0.3"/>
  <pageSetup orientation="portrait" horizontalDpi="0" verticalDpi="0" r:id="rId1"/>
  <drawing r:id="rId2"/>
  <tableParts count="6">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91B0-F86F-41CC-BE40-7E4A689039D9}">
  <sheetPr>
    <tabColor theme="8"/>
  </sheetPr>
  <dimension ref="A2:L139"/>
  <sheetViews>
    <sheetView workbookViewId="0">
      <selection activeCell="H22" sqref="H22:L139"/>
    </sheetView>
  </sheetViews>
  <sheetFormatPr defaultRowHeight="15"/>
  <cols>
    <col min="1" max="1" width="9.23046875" style="266"/>
    <col min="3" max="3" width="26.07421875" customWidth="1"/>
    <col min="4" max="5" width="15.53515625" customWidth="1"/>
    <col min="9" max="9" width="14.61328125" customWidth="1"/>
    <col min="10" max="10" width="12.3046875" customWidth="1"/>
    <col min="11" max="11" width="12.69140625" customWidth="1"/>
    <col min="12" max="12" width="1.07421875" customWidth="1"/>
  </cols>
  <sheetData>
    <row r="2" spans="3:6" ht="29.5">
      <c r="C2" s="214" t="s">
        <v>4562</v>
      </c>
    </row>
    <row r="3" spans="3:6">
      <c r="C3" s="2" t="s">
        <v>139</v>
      </c>
    </row>
    <row r="5" spans="3:6" ht="18">
      <c r="C5" s="15" t="s">
        <v>0</v>
      </c>
      <c r="D5" s="16" t="s">
        <v>140</v>
      </c>
      <c r="E5" s="16" t="s">
        <v>141</v>
      </c>
      <c r="F5" s="16" t="s">
        <v>4608</v>
      </c>
    </row>
    <row r="6" spans="3:6">
      <c r="C6" s="3" t="s">
        <v>142</v>
      </c>
      <c r="D6" s="4">
        <f>COUNTA(_xlfn.UNIQUE(_xlfn._xlws.FILTER(tbl_summ[Property],tbl_summ[IsVisible])))</f>
        <v>118</v>
      </c>
      <c r="E6" s="4">
        <f>_xlfn.AGGREGATE(3,3,tbl_summ[Property])</f>
        <v>118</v>
      </c>
    </row>
    <row r="7" spans="3:6">
      <c r="C7" s="3" t="s">
        <v>2</v>
      </c>
      <c r="D7" s="4"/>
      <c r="E7" s="4">
        <f>COUNTA(tbl_pros[Values])</f>
        <v>1094</v>
      </c>
      <c r="F7">
        <v>1158</v>
      </c>
    </row>
    <row r="10" spans="3:6">
      <c r="C10" s="17" t="s">
        <v>22</v>
      </c>
    </row>
    <row r="11" spans="3:6">
      <c r="C11" s="2" t="s">
        <v>196</v>
      </c>
    </row>
    <row r="12" spans="3:6">
      <c r="C12" s="2" t="s">
        <v>199</v>
      </c>
    </row>
    <row r="21" spans="8:12">
      <c r="H21" s="7" t="s">
        <v>8</v>
      </c>
      <c r="I21" s="8" t="s">
        <v>1</v>
      </c>
      <c r="J21" s="7" t="s">
        <v>2</v>
      </c>
      <c r="K21" s="7" t="s">
        <v>3</v>
      </c>
      <c r="L21" s="9" t="s">
        <v>9</v>
      </c>
    </row>
    <row r="22" spans="8:12">
      <c r="H22" s="4">
        <v>1</v>
      </c>
      <c r="I22" s="2" t="s">
        <v>10</v>
      </c>
      <c r="J22" s="4">
        <v>3</v>
      </c>
      <c r="K22" s="4">
        <v>3</v>
      </c>
      <c r="L22" s="11">
        <f>SUBTOTAL(3,_xlfn.SINGLE(tbl_summ[RowId]))</f>
        <v>1</v>
      </c>
    </row>
    <row r="23" spans="8:12">
      <c r="H23" s="4">
        <v>2</v>
      </c>
      <c r="I23" s="2" t="s">
        <v>11</v>
      </c>
      <c r="J23" s="4">
        <v>40</v>
      </c>
      <c r="K23" s="4">
        <v>42</v>
      </c>
      <c r="L23" s="11">
        <f>SUBTOTAL(3,_xlfn.SINGLE(tbl_summ[RowId]))</f>
        <v>1</v>
      </c>
    </row>
    <row r="24" spans="8:12">
      <c r="H24" s="4">
        <v>3</v>
      </c>
      <c r="I24" s="2" t="s">
        <v>12</v>
      </c>
      <c r="J24" s="4">
        <v>8</v>
      </c>
      <c r="K24" s="4">
        <v>26</v>
      </c>
      <c r="L24" s="11">
        <f>SUBTOTAL(3,_xlfn.SINGLE(tbl_summ[RowId]))</f>
        <v>1</v>
      </c>
    </row>
    <row r="25" spans="8:12">
      <c r="H25" s="4">
        <v>4</v>
      </c>
      <c r="I25" s="2" t="s">
        <v>13</v>
      </c>
      <c r="J25" s="4">
        <v>32</v>
      </c>
      <c r="K25" s="4">
        <v>40</v>
      </c>
      <c r="L25" s="11">
        <f>SUBTOTAL(3,_xlfn.SINGLE(tbl_summ[RowId]))</f>
        <v>1</v>
      </c>
    </row>
    <row r="26" spans="8:12">
      <c r="H26" s="4">
        <v>5</v>
      </c>
      <c r="I26" s="2" t="s">
        <v>14</v>
      </c>
      <c r="J26" s="4">
        <v>6</v>
      </c>
      <c r="K26" s="4">
        <v>10</v>
      </c>
      <c r="L26" s="11">
        <f>SUBTOTAL(3,_xlfn.SINGLE(tbl_summ[RowId]))</f>
        <v>1</v>
      </c>
    </row>
    <row r="27" spans="8:12">
      <c r="H27" s="4">
        <v>6</v>
      </c>
      <c r="I27" s="2" t="s">
        <v>15</v>
      </c>
      <c r="J27" s="4">
        <v>5</v>
      </c>
      <c r="K27" s="4">
        <v>5</v>
      </c>
      <c r="L27" s="11">
        <f>SUBTOTAL(3,_xlfn.SINGLE(tbl_summ[RowId]))</f>
        <v>1</v>
      </c>
    </row>
    <row r="28" spans="8:12">
      <c r="H28" s="4">
        <v>7</v>
      </c>
      <c r="I28" s="2" t="s">
        <v>16</v>
      </c>
      <c r="J28" s="4">
        <v>17</v>
      </c>
      <c r="K28" s="4">
        <v>21</v>
      </c>
      <c r="L28" s="11">
        <f>SUBTOTAL(3,_xlfn.SINGLE(tbl_summ[RowId]))</f>
        <v>1</v>
      </c>
    </row>
    <row r="29" spans="8:12">
      <c r="H29" s="4">
        <v>8</v>
      </c>
      <c r="I29" s="2" t="s">
        <v>17</v>
      </c>
      <c r="J29" s="4">
        <v>1</v>
      </c>
      <c r="K29" s="4">
        <v>1</v>
      </c>
      <c r="L29" s="11">
        <f>SUBTOTAL(3,_xlfn.SINGLE(tbl_summ[RowId]))</f>
        <v>1</v>
      </c>
    </row>
    <row r="30" spans="8:12">
      <c r="H30" s="4">
        <v>9</v>
      </c>
      <c r="I30" s="2" t="s">
        <v>18</v>
      </c>
      <c r="J30" s="4">
        <v>1</v>
      </c>
      <c r="K30" s="4">
        <v>1</v>
      </c>
      <c r="L30" s="11">
        <f>SUBTOTAL(3,_xlfn.SINGLE(tbl_summ[RowId]))</f>
        <v>1</v>
      </c>
    </row>
    <row r="31" spans="8:12">
      <c r="H31" s="4">
        <v>10</v>
      </c>
      <c r="I31" s="2" t="s">
        <v>19</v>
      </c>
      <c r="J31" s="4">
        <v>16</v>
      </c>
      <c r="K31" s="4">
        <v>16</v>
      </c>
      <c r="L31" s="11">
        <f>SUBTOTAL(3,_xlfn.SINGLE(tbl_summ[RowId]))</f>
        <v>1</v>
      </c>
    </row>
    <row r="32" spans="8:12">
      <c r="H32" s="4">
        <v>11</v>
      </c>
      <c r="I32" s="14" t="s">
        <v>20</v>
      </c>
      <c r="J32" s="4">
        <v>3</v>
      </c>
      <c r="K32" s="4">
        <v>47</v>
      </c>
      <c r="L32" s="11">
        <f>SUBTOTAL(3,_xlfn.SINGLE(tbl_summ[RowId]))</f>
        <v>1</v>
      </c>
    </row>
    <row r="33" spans="8:12">
      <c r="H33" s="4">
        <v>12</v>
      </c>
      <c r="I33" s="2" t="s">
        <v>21</v>
      </c>
      <c r="J33" s="4">
        <v>4</v>
      </c>
      <c r="K33" s="4">
        <v>72</v>
      </c>
      <c r="L33" s="11">
        <f>SUBTOTAL(3,_xlfn.SINGLE(tbl_summ[RowId]))</f>
        <v>1</v>
      </c>
    </row>
    <row r="34" spans="8:12">
      <c r="H34" s="4">
        <v>13</v>
      </c>
      <c r="I34" s="2" t="s">
        <v>23</v>
      </c>
      <c r="J34" s="4">
        <v>3</v>
      </c>
      <c r="K34" s="4">
        <v>27</v>
      </c>
      <c r="L34" s="11">
        <f>SUBTOTAL(3,_xlfn.SINGLE(tbl_summ[RowId]))</f>
        <v>1</v>
      </c>
    </row>
    <row r="35" spans="8:12">
      <c r="H35" s="4">
        <v>14</v>
      </c>
      <c r="I35" s="2" t="s">
        <v>25</v>
      </c>
      <c r="J35" s="4">
        <v>1</v>
      </c>
      <c r="K35" s="4">
        <v>7</v>
      </c>
      <c r="L35" s="11">
        <f>SUBTOTAL(3,_xlfn.SINGLE(tbl_summ[RowId]))</f>
        <v>1</v>
      </c>
    </row>
    <row r="36" spans="8:12">
      <c r="H36" s="4">
        <v>15</v>
      </c>
      <c r="I36" s="2" t="s">
        <v>27</v>
      </c>
      <c r="J36" s="4">
        <v>2</v>
      </c>
      <c r="K36" s="4">
        <v>2</v>
      </c>
      <c r="L36" s="11">
        <f>SUBTOTAL(3,_xlfn.SINGLE(tbl_summ[RowId]))</f>
        <v>1</v>
      </c>
    </row>
    <row r="37" spans="8:12">
      <c r="H37" s="4">
        <v>16</v>
      </c>
      <c r="I37" s="2" t="s">
        <v>29</v>
      </c>
      <c r="J37" s="4">
        <v>1</v>
      </c>
      <c r="K37" s="4">
        <v>2</v>
      </c>
      <c r="L37" s="11">
        <f>SUBTOTAL(3,_xlfn.SINGLE(tbl_summ[RowId]))</f>
        <v>1</v>
      </c>
    </row>
    <row r="38" spans="8:12">
      <c r="H38" s="4">
        <v>17</v>
      </c>
      <c r="I38" s="2" t="s">
        <v>31</v>
      </c>
      <c r="J38" s="4">
        <v>7</v>
      </c>
      <c r="K38" s="4">
        <v>18</v>
      </c>
      <c r="L38" s="11">
        <f>SUBTOTAL(3,_xlfn.SINGLE(tbl_summ[RowId]))</f>
        <v>1</v>
      </c>
    </row>
    <row r="39" spans="8:12">
      <c r="H39" s="4">
        <v>18</v>
      </c>
      <c r="I39" s="2" t="s">
        <v>33</v>
      </c>
      <c r="J39" s="4">
        <v>28</v>
      </c>
      <c r="K39" s="4">
        <v>31</v>
      </c>
      <c r="L39" s="11">
        <f>SUBTOTAL(3,_xlfn.SINGLE(tbl_summ[RowId]))</f>
        <v>1</v>
      </c>
    </row>
    <row r="40" spans="8:12">
      <c r="H40" s="4">
        <v>19</v>
      </c>
      <c r="I40" s="2" t="s">
        <v>35</v>
      </c>
      <c r="J40" s="4">
        <v>56</v>
      </c>
      <c r="K40" s="4">
        <v>59</v>
      </c>
      <c r="L40" s="11">
        <f>SUBTOTAL(3,_xlfn.SINGLE(tbl_summ[RowId]))</f>
        <v>1</v>
      </c>
    </row>
    <row r="41" spans="8:12">
      <c r="H41" s="4">
        <v>20</v>
      </c>
      <c r="I41" s="2" t="s">
        <v>37</v>
      </c>
      <c r="J41" s="4">
        <v>19</v>
      </c>
      <c r="K41" s="4">
        <v>20</v>
      </c>
      <c r="L41" s="11">
        <f>SUBTOTAL(3,_xlfn.SINGLE(tbl_summ[RowId]))</f>
        <v>1</v>
      </c>
    </row>
    <row r="42" spans="8:12">
      <c r="H42" s="4">
        <v>21</v>
      </c>
      <c r="I42" s="2" t="s">
        <v>39</v>
      </c>
      <c r="J42" s="4">
        <v>1</v>
      </c>
      <c r="K42" s="4">
        <v>2</v>
      </c>
      <c r="L42" s="11">
        <f>SUBTOTAL(3,_xlfn.SINGLE(tbl_summ[RowId]))</f>
        <v>1</v>
      </c>
    </row>
    <row r="43" spans="8:12">
      <c r="H43" s="4">
        <v>22</v>
      </c>
      <c r="I43" s="2" t="s">
        <v>41</v>
      </c>
      <c r="J43" s="4">
        <v>2</v>
      </c>
      <c r="K43" s="4">
        <v>2</v>
      </c>
      <c r="L43" s="11">
        <f>SUBTOTAL(3,_xlfn.SINGLE(tbl_summ[RowId]))</f>
        <v>1</v>
      </c>
    </row>
    <row r="44" spans="8:12">
      <c r="H44" s="4">
        <v>23</v>
      </c>
      <c r="I44" s="2" t="s">
        <v>43</v>
      </c>
      <c r="J44" s="4">
        <v>5</v>
      </c>
      <c r="K44" s="4">
        <v>5</v>
      </c>
      <c r="L44" s="11">
        <f>SUBTOTAL(3,_xlfn.SINGLE(tbl_summ[RowId]))</f>
        <v>1</v>
      </c>
    </row>
    <row r="45" spans="8:12">
      <c r="H45" s="4">
        <v>24</v>
      </c>
      <c r="I45" s="2" t="s">
        <v>44</v>
      </c>
      <c r="J45" s="4">
        <v>1</v>
      </c>
      <c r="K45" s="4">
        <v>1</v>
      </c>
      <c r="L45" s="11">
        <f>SUBTOTAL(3,_xlfn.SINGLE(tbl_summ[RowId]))</f>
        <v>1</v>
      </c>
    </row>
    <row r="46" spans="8:12">
      <c r="H46" s="4">
        <v>25</v>
      </c>
      <c r="I46" s="2" t="s">
        <v>45</v>
      </c>
      <c r="J46" s="4">
        <v>7</v>
      </c>
      <c r="K46" s="4">
        <v>7</v>
      </c>
      <c r="L46" s="11">
        <f>SUBTOTAL(3,_xlfn.SINGLE(tbl_summ[RowId]))</f>
        <v>1</v>
      </c>
    </row>
    <row r="47" spans="8:12">
      <c r="H47" s="4">
        <v>26</v>
      </c>
      <c r="I47" s="2" t="s">
        <v>46</v>
      </c>
      <c r="J47" s="4">
        <v>23</v>
      </c>
      <c r="K47" s="4">
        <v>41</v>
      </c>
      <c r="L47" s="11">
        <f>SUBTOTAL(3,_xlfn.SINGLE(tbl_summ[RowId]))</f>
        <v>1</v>
      </c>
    </row>
    <row r="48" spans="8:12">
      <c r="H48" s="4">
        <v>27</v>
      </c>
      <c r="I48" s="2" t="s">
        <v>47</v>
      </c>
      <c r="J48" s="4">
        <v>2</v>
      </c>
      <c r="K48" s="4">
        <v>8</v>
      </c>
      <c r="L48" s="11">
        <f>SUBTOTAL(3,_xlfn.SINGLE(tbl_summ[RowId]))</f>
        <v>1</v>
      </c>
    </row>
    <row r="49" spans="8:12">
      <c r="H49" s="4">
        <v>28</v>
      </c>
      <c r="I49" s="2" t="s">
        <v>48</v>
      </c>
      <c r="J49" s="4">
        <v>378</v>
      </c>
      <c r="K49" s="4">
        <v>413</v>
      </c>
      <c r="L49" s="11">
        <f>SUBTOTAL(3,_xlfn.SINGLE(tbl_summ[RowId]))</f>
        <v>1</v>
      </c>
    </row>
    <row r="50" spans="8:12">
      <c r="H50" s="4">
        <v>29</v>
      </c>
      <c r="I50" s="2" t="s">
        <v>49</v>
      </c>
      <c r="J50" s="4">
        <v>1</v>
      </c>
      <c r="K50" s="4">
        <v>13</v>
      </c>
      <c r="L50" s="11">
        <f>SUBTOTAL(3,_xlfn.SINGLE(tbl_summ[RowId]))</f>
        <v>1</v>
      </c>
    </row>
    <row r="51" spans="8:12">
      <c r="H51" s="4">
        <v>30</v>
      </c>
      <c r="I51" s="2" t="s">
        <v>50</v>
      </c>
      <c r="J51" s="4">
        <v>146</v>
      </c>
      <c r="K51" s="4">
        <v>399</v>
      </c>
      <c r="L51" s="11">
        <f>SUBTOTAL(3,_xlfn.SINGLE(tbl_summ[RowId]))</f>
        <v>1</v>
      </c>
    </row>
    <row r="52" spans="8:12">
      <c r="H52" s="4">
        <v>31</v>
      </c>
      <c r="I52" s="2" t="s">
        <v>51</v>
      </c>
      <c r="J52" s="4">
        <v>1</v>
      </c>
      <c r="K52" s="4">
        <v>1</v>
      </c>
      <c r="L52" s="11">
        <f>SUBTOTAL(3,_xlfn.SINGLE(tbl_summ[RowId]))</f>
        <v>1</v>
      </c>
    </row>
    <row r="53" spans="8:12">
      <c r="H53" s="4">
        <v>32</v>
      </c>
      <c r="I53" s="2" t="s">
        <v>52</v>
      </c>
      <c r="J53" s="4">
        <v>1</v>
      </c>
      <c r="K53" s="4">
        <v>1</v>
      </c>
      <c r="L53" s="11">
        <f>SUBTOTAL(3,_xlfn.SINGLE(tbl_summ[RowId]))</f>
        <v>1</v>
      </c>
    </row>
    <row r="54" spans="8:12">
      <c r="H54" s="4">
        <v>33</v>
      </c>
      <c r="I54" s="2" t="s">
        <v>53</v>
      </c>
      <c r="J54" s="4">
        <v>1</v>
      </c>
      <c r="K54" s="4">
        <v>1</v>
      </c>
      <c r="L54" s="11">
        <f>SUBTOTAL(3,_xlfn.SINGLE(tbl_summ[RowId]))</f>
        <v>1</v>
      </c>
    </row>
    <row r="55" spans="8:12">
      <c r="H55" s="4">
        <v>34</v>
      </c>
      <c r="I55" s="2" t="s">
        <v>54</v>
      </c>
      <c r="J55" s="4">
        <v>1</v>
      </c>
      <c r="K55" s="4">
        <v>2</v>
      </c>
      <c r="L55" s="11">
        <f>SUBTOTAL(3,_xlfn.SINGLE(tbl_summ[RowId]))</f>
        <v>1</v>
      </c>
    </row>
    <row r="56" spans="8:12">
      <c r="H56" s="4">
        <v>35</v>
      </c>
      <c r="I56" s="2" t="s">
        <v>55</v>
      </c>
      <c r="J56" s="4">
        <v>1</v>
      </c>
      <c r="K56" s="4">
        <v>2</v>
      </c>
      <c r="L56" s="11">
        <f>SUBTOTAL(3,_xlfn.SINGLE(tbl_summ[RowId]))</f>
        <v>1</v>
      </c>
    </row>
    <row r="57" spans="8:12">
      <c r="H57" s="4">
        <v>36</v>
      </c>
      <c r="I57" s="2" t="s">
        <v>56</v>
      </c>
      <c r="J57" s="4">
        <v>1</v>
      </c>
      <c r="K57" s="4">
        <v>2</v>
      </c>
      <c r="L57" s="11">
        <f>SUBTOTAL(3,_xlfn.SINGLE(tbl_summ[RowId]))</f>
        <v>1</v>
      </c>
    </row>
    <row r="58" spans="8:12">
      <c r="H58" s="4">
        <v>37</v>
      </c>
      <c r="I58" s="2" t="s">
        <v>57</v>
      </c>
      <c r="J58" s="4">
        <v>1</v>
      </c>
      <c r="K58" s="4">
        <v>2</v>
      </c>
      <c r="L58" s="11">
        <f>SUBTOTAL(3,_xlfn.SINGLE(tbl_summ[RowId]))</f>
        <v>1</v>
      </c>
    </row>
    <row r="59" spans="8:12">
      <c r="H59" s="4">
        <v>38</v>
      </c>
      <c r="I59" s="2" t="s">
        <v>58</v>
      </c>
      <c r="J59" s="4">
        <v>1</v>
      </c>
      <c r="K59" s="4">
        <v>2</v>
      </c>
      <c r="L59" s="11">
        <f>SUBTOTAL(3,_xlfn.SINGLE(tbl_summ[RowId]))</f>
        <v>1</v>
      </c>
    </row>
    <row r="60" spans="8:12">
      <c r="H60" s="4">
        <v>39</v>
      </c>
      <c r="I60" s="2" t="s">
        <v>59</v>
      </c>
      <c r="J60" s="4">
        <v>1</v>
      </c>
      <c r="K60" s="4">
        <v>1</v>
      </c>
      <c r="L60" s="11">
        <f>SUBTOTAL(3,_xlfn.SINGLE(tbl_summ[RowId]))</f>
        <v>1</v>
      </c>
    </row>
    <row r="61" spans="8:12">
      <c r="H61" s="4">
        <v>40</v>
      </c>
      <c r="I61" s="2" t="s">
        <v>60</v>
      </c>
      <c r="J61" s="4">
        <v>1</v>
      </c>
      <c r="K61" s="4">
        <v>2</v>
      </c>
      <c r="L61" s="11">
        <f>SUBTOTAL(3,_xlfn.SINGLE(tbl_summ[RowId]))</f>
        <v>1</v>
      </c>
    </row>
    <row r="62" spans="8:12">
      <c r="H62" s="4">
        <v>41</v>
      </c>
      <c r="I62" s="2" t="s">
        <v>61</v>
      </c>
      <c r="J62" s="4">
        <v>1</v>
      </c>
      <c r="K62" s="4">
        <v>2</v>
      </c>
      <c r="L62" s="11">
        <f>SUBTOTAL(3,_xlfn.SINGLE(tbl_summ[RowId]))</f>
        <v>1</v>
      </c>
    </row>
    <row r="63" spans="8:12">
      <c r="H63" s="4">
        <v>42</v>
      </c>
      <c r="I63" s="2" t="s">
        <v>62</v>
      </c>
      <c r="J63" s="4">
        <v>1</v>
      </c>
      <c r="K63" s="4">
        <v>1</v>
      </c>
      <c r="L63" s="11">
        <f>SUBTOTAL(3,_xlfn.SINGLE(tbl_summ[RowId]))</f>
        <v>1</v>
      </c>
    </row>
    <row r="64" spans="8:12">
      <c r="H64" s="4">
        <v>43</v>
      </c>
      <c r="I64" s="2" t="s">
        <v>63</v>
      </c>
      <c r="J64" s="4">
        <v>1</v>
      </c>
      <c r="K64" s="4">
        <v>2</v>
      </c>
      <c r="L64" s="11">
        <f>SUBTOTAL(3,_xlfn.SINGLE(tbl_summ[RowId]))</f>
        <v>1</v>
      </c>
    </row>
    <row r="65" spans="8:12">
      <c r="H65" s="4">
        <v>44</v>
      </c>
      <c r="I65" s="2" t="s">
        <v>64</v>
      </c>
      <c r="J65" s="4">
        <v>1</v>
      </c>
      <c r="K65" s="4">
        <v>1</v>
      </c>
      <c r="L65" s="11">
        <f>SUBTOTAL(3,_xlfn.SINGLE(tbl_summ[RowId]))</f>
        <v>1</v>
      </c>
    </row>
    <row r="66" spans="8:12">
      <c r="H66" s="4">
        <v>45</v>
      </c>
      <c r="I66" s="2" t="s">
        <v>65</v>
      </c>
      <c r="J66" s="4">
        <v>1</v>
      </c>
      <c r="K66" s="4">
        <v>2</v>
      </c>
      <c r="L66" s="11">
        <f>SUBTOTAL(3,_xlfn.SINGLE(tbl_summ[RowId]))</f>
        <v>1</v>
      </c>
    </row>
    <row r="67" spans="8:12">
      <c r="H67" s="4">
        <v>46</v>
      </c>
      <c r="I67" s="2" t="s">
        <v>66</v>
      </c>
      <c r="J67" s="4">
        <v>1</v>
      </c>
      <c r="K67" s="4">
        <v>1</v>
      </c>
      <c r="L67" s="11">
        <f>SUBTOTAL(3,_xlfn.SINGLE(tbl_summ[RowId]))</f>
        <v>1</v>
      </c>
    </row>
    <row r="68" spans="8:12">
      <c r="H68" s="4">
        <v>47</v>
      </c>
      <c r="I68" s="2" t="s">
        <v>67</v>
      </c>
      <c r="J68" s="4">
        <v>1</v>
      </c>
      <c r="K68" s="4">
        <v>2</v>
      </c>
      <c r="L68" s="11">
        <f>SUBTOTAL(3,_xlfn.SINGLE(tbl_summ[RowId]))</f>
        <v>1</v>
      </c>
    </row>
    <row r="69" spans="8:12">
      <c r="H69" s="4">
        <v>48</v>
      </c>
      <c r="I69" s="2" t="s">
        <v>68</v>
      </c>
      <c r="J69" s="4">
        <v>1</v>
      </c>
      <c r="K69" s="4">
        <v>1</v>
      </c>
      <c r="L69" s="11">
        <f>SUBTOTAL(3,_xlfn.SINGLE(tbl_summ[RowId]))</f>
        <v>1</v>
      </c>
    </row>
    <row r="70" spans="8:12">
      <c r="H70" s="4">
        <v>49</v>
      </c>
      <c r="I70" s="2" t="s">
        <v>69</v>
      </c>
      <c r="J70" s="4">
        <v>1</v>
      </c>
      <c r="K70" s="4">
        <v>1</v>
      </c>
      <c r="L70" s="11">
        <f>SUBTOTAL(3,_xlfn.SINGLE(tbl_summ[RowId]))</f>
        <v>1</v>
      </c>
    </row>
    <row r="71" spans="8:12">
      <c r="H71" s="4">
        <v>50</v>
      </c>
      <c r="I71" s="2" t="s">
        <v>70</v>
      </c>
      <c r="J71" s="4">
        <v>1</v>
      </c>
      <c r="K71" s="4">
        <v>1</v>
      </c>
      <c r="L71" s="11">
        <f>SUBTOTAL(3,_xlfn.SINGLE(tbl_summ[RowId]))</f>
        <v>1</v>
      </c>
    </row>
    <row r="72" spans="8:12">
      <c r="H72" s="4">
        <v>51</v>
      </c>
      <c r="I72" s="2" t="s">
        <v>71</v>
      </c>
      <c r="J72" s="4">
        <v>1</v>
      </c>
      <c r="K72" s="4">
        <v>1</v>
      </c>
      <c r="L72" s="11">
        <f>SUBTOTAL(3,_xlfn.SINGLE(tbl_summ[RowId]))</f>
        <v>1</v>
      </c>
    </row>
    <row r="73" spans="8:12">
      <c r="H73" s="4">
        <v>52</v>
      </c>
      <c r="I73" s="2" t="s">
        <v>72</v>
      </c>
      <c r="J73" s="4">
        <v>1</v>
      </c>
      <c r="K73" s="4">
        <v>1</v>
      </c>
      <c r="L73" s="11">
        <f>SUBTOTAL(3,_xlfn.SINGLE(tbl_summ[RowId]))</f>
        <v>1</v>
      </c>
    </row>
    <row r="74" spans="8:12">
      <c r="H74" s="4">
        <v>53</v>
      </c>
      <c r="I74" s="2" t="s">
        <v>73</v>
      </c>
      <c r="J74" s="4">
        <v>1</v>
      </c>
      <c r="K74" s="4">
        <v>1</v>
      </c>
      <c r="L74" s="11">
        <f>SUBTOTAL(3,_xlfn.SINGLE(tbl_summ[RowId]))</f>
        <v>1</v>
      </c>
    </row>
    <row r="75" spans="8:12">
      <c r="H75" s="4">
        <v>54</v>
      </c>
      <c r="I75" s="2" t="s">
        <v>74</v>
      </c>
      <c r="J75" s="4">
        <v>1</v>
      </c>
      <c r="K75" s="4">
        <v>1</v>
      </c>
      <c r="L75" s="11">
        <f>SUBTOTAL(3,_xlfn.SINGLE(tbl_summ[RowId]))</f>
        <v>1</v>
      </c>
    </row>
    <row r="76" spans="8:12">
      <c r="H76" s="4">
        <v>55</v>
      </c>
      <c r="I76" s="2" t="s">
        <v>75</v>
      </c>
      <c r="J76" s="4">
        <v>1</v>
      </c>
      <c r="K76" s="4">
        <v>1</v>
      </c>
      <c r="L76" s="11">
        <f>SUBTOTAL(3,_xlfn.SINGLE(tbl_summ[RowId]))</f>
        <v>1</v>
      </c>
    </row>
    <row r="77" spans="8:12">
      <c r="H77" s="4">
        <v>56</v>
      </c>
      <c r="I77" s="2" t="s">
        <v>76</v>
      </c>
      <c r="J77" s="4">
        <v>1</v>
      </c>
      <c r="K77" s="4">
        <v>1</v>
      </c>
      <c r="L77" s="11">
        <f>SUBTOTAL(3,_xlfn.SINGLE(tbl_summ[RowId]))</f>
        <v>1</v>
      </c>
    </row>
    <row r="78" spans="8:12">
      <c r="H78" s="4">
        <v>57</v>
      </c>
      <c r="I78" s="2" t="s">
        <v>77</v>
      </c>
      <c r="J78" s="4">
        <v>1</v>
      </c>
      <c r="K78" s="4">
        <v>1</v>
      </c>
      <c r="L78" s="11">
        <f>SUBTOTAL(3,_xlfn.SINGLE(tbl_summ[RowId]))</f>
        <v>1</v>
      </c>
    </row>
    <row r="79" spans="8:12">
      <c r="H79" s="4">
        <v>58</v>
      </c>
      <c r="I79" s="2" t="s">
        <v>78</v>
      </c>
      <c r="J79" s="4">
        <v>1</v>
      </c>
      <c r="K79" s="4">
        <v>1</v>
      </c>
      <c r="L79" s="11">
        <f>SUBTOTAL(3,_xlfn.SINGLE(tbl_summ[RowId]))</f>
        <v>1</v>
      </c>
    </row>
    <row r="80" spans="8:12">
      <c r="H80" s="4">
        <v>59</v>
      </c>
      <c r="I80" s="2" t="s">
        <v>79</v>
      </c>
      <c r="J80" s="4">
        <v>1</v>
      </c>
      <c r="K80" s="4">
        <v>1</v>
      </c>
      <c r="L80" s="11">
        <f>SUBTOTAL(3,_xlfn.SINGLE(tbl_summ[RowId]))</f>
        <v>1</v>
      </c>
    </row>
    <row r="81" spans="8:12">
      <c r="H81" s="4">
        <v>60</v>
      </c>
      <c r="I81" s="2" t="s">
        <v>80</v>
      </c>
      <c r="J81" s="4">
        <v>1</v>
      </c>
      <c r="K81" s="4">
        <v>2</v>
      </c>
      <c r="L81" s="11">
        <f>SUBTOTAL(3,_xlfn.SINGLE(tbl_summ[RowId]))</f>
        <v>1</v>
      </c>
    </row>
    <row r="82" spans="8:12">
      <c r="H82" s="4">
        <v>61</v>
      </c>
      <c r="I82" s="2" t="s">
        <v>81</v>
      </c>
      <c r="J82" s="4">
        <v>1</v>
      </c>
      <c r="K82" s="4">
        <v>1</v>
      </c>
      <c r="L82" s="11">
        <f>SUBTOTAL(3,_xlfn.SINGLE(tbl_summ[RowId]))</f>
        <v>1</v>
      </c>
    </row>
    <row r="83" spans="8:12">
      <c r="H83" s="4">
        <v>62</v>
      </c>
      <c r="I83" s="2" t="s">
        <v>82</v>
      </c>
      <c r="J83" s="4">
        <v>1</v>
      </c>
      <c r="K83" s="4">
        <v>1</v>
      </c>
      <c r="L83" s="11">
        <f>SUBTOTAL(3,_xlfn.SINGLE(tbl_summ[RowId]))</f>
        <v>1</v>
      </c>
    </row>
    <row r="84" spans="8:12">
      <c r="H84" s="4">
        <v>63</v>
      </c>
      <c r="I84" s="2" t="s">
        <v>83</v>
      </c>
      <c r="J84" s="4">
        <v>1</v>
      </c>
      <c r="K84" s="4">
        <v>2</v>
      </c>
      <c r="L84" s="11">
        <f>SUBTOTAL(3,_xlfn.SINGLE(tbl_summ[RowId]))</f>
        <v>1</v>
      </c>
    </row>
    <row r="85" spans="8:12">
      <c r="H85" s="4">
        <v>64</v>
      </c>
      <c r="I85" s="2" t="s">
        <v>84</v>
      </c>
      <c r="J85" s="4">
        <v>1</v>
      </c>
      <c r="K85" s="4">
        <v>1</v>
      </c>
      <c r="L85" s="11">
        <f>SUBTOTAL(3,_xlfn.SINGLE(tbl_summ[RowId]))</f>
        <v>1</v>
      </c>
    </row>
    <row r="86" spans="8:12">
      <c r="H86" s="4">
        <v>65</v>
      </c>
      <c r="I86" s="2" t="s">
        <v>85</v>
      </c>
      <c r="J86" s="4">
        <v>1</v>
      </c>
      <c r="K86" s="4">
        <v>1</v>
      </c>
      <c r="L86" s="11">
        <f>SUBTOTAL(3,_xlfn.SINGLE(tbl_summ[RowId]))</f>
        <v>1</v>
      </c>
    </row>
    <row r="87" spans="8:12">
      <c r="H87" s="4">
        <v>66</v>
      </c>
      <c r="I87" s="2" t="s">
        <v>86</v>
      </c>
      <c r="J87" s="4">
        <v>1</v>
      </c>
      <c r="K87" s="4">
        <v>1</v>
      </c>
      <c r="L87" s="11">
        <f>SUBTOTAL(3,_xlfn.SINGLE(tbl_summ[RowId]))</f>
        <v>1</v>
      </c>
    </row>
    <row r="88" spans="8:12">
      <c r="H88" s="4">
        <v>67</v>
      </c>
      <c r="I88" s="2" t="s">
        <v>87</v>
      </c>
      <c r="J88" s="4">
        <v>1</v>
      </c>
      <c r="K88" s="4">
        <v>1</v>
      </c>
      <c r="L88" s="11">
        <f>SUBTOTAL(3,_xlfn.SINGLE(tbl_summ[RowId]))</f>
        <v>1</v>
      </c>
    </row>
    <row r="89" spans="8:12">
      <c r="H89" s="4">
        <v>68</v>
      </c>
      <c r="I89" s="2" t="s">
        <v>88</v>
      </c>
      <c r="J89" s="4">
        <v>1</v>
      </c>
      <c r="K89" s="4">
        <v>1</v>
      </c>
      <c r="L89" s="11">
        <f>SUBTOTAL(3,_xlfn.SINGLE(tbl_summ[RowId]))</f>
        <v>1</v>
      </c>
    </row>
    <row r="90" spans="8:12">
      <c r="H90" s="4">
        <v>69</v>
      </c>
      <c r="I90" s="2" t="s">
        <v>89</v>
      </c>
      <c r="J90" s="4">
        <v>1</v>
      </c>
      <c r="K90" s="4">
        <v>1</v>
      </c>
      <c r="L90" s="11">
        <f>SUBTOTAL(3,_xlfn.SINGLE(tbl_summ[RowId]))</f>
        <v>1</v>
      </c>
    </row>
    <row r="91" spans="8:12">
      <c r="H91" s="4">
        <v>70</v>
      </c>
      <c r="I91" s="2" t="s">
        <v>90</v>
      </c>
      <c r="J91" s="4">
        <v>1</v>
      </c>
      <c r="K91" s="4">
        <v>1</v>
      </c>
      <c r="L91" s="11">
        <f>SUBTOTAL(3,_xlfn.SINGLE(tbl_summ[RowId]))</f>
        <v>1</v>
      </c>
    </row>
    <row r="92" spans="8:12">
      <c r="H92" s="4">
        <v>71</v>
      </c>
      <c r="I92" s="2" t="s">
        <v>91</v>
      </c>
      <c r="J92" s="4">
        <v>1</v>
      </c>
      <c r="K92" s="4">
        <v>1</v>
      </c>
      <c r="L92" s="11">
        <f>SUBTOTAL(3,_xlfn.SINGLE(tbl_summ[RowId]))</f>
        <v>1</v>
      </c>
    </row>
    <row r="93" spans="8:12">
      <c r="H93" s="4">
        <v>72</v>
      </c>
      <c r="I93" s="2" t="s">
        <v>92</v>
      </c>
      <c r="J93" s="4">
        <v>1</v>
      </c>
      <c r="K93" s="4">
        <v>2</v>
      </c>
      <c r="L93" s="11">
        <f>SUBTOTAL(3,_xlfn.SINGLE(tbl_summ[RowId]))</f>
        <v>1</v>
      </c>
    </row>
    <row r="94" spans="8:12">
      <c r="H94" s="4">
        <v>73</v>
      </c>
      <c r="I94" s="2" t="s">
        <v>93</v>
      </c>
      <c r="J94" s="4">
        <v>1</v>
      </c>
      <c r="K94" s="4">
        <v>1</v>
      </c>
      <c r="L94" s="11">
        <f>SUBTOTAL(3,_xlfn.SINGLE(tbl_summ[RowId]))</f>
        <v>1</v>
      </c>
    </row>
    <row r="95" spans="8:12">
      <c r="H95" s="4">
        <v>74</v>
      </c>
      <c r="I95" s="2" t="s">
        <v>94</v>
      </c>
      <c r="J95" s="4">
        <v>2</v>
      </c>
      <c r="K95" s="4">
        <v>2</v>
      </c>
      <c r="L95" s="11">
        <f>SUBTOTAL(3,_xlfn.SINGLE(tbl_summ[RowId]))</f>
        <v>1</v>
      </c>
    </row>
    <row r="96" spans="8:12">
      <c r="H96" s="4">
        <v>75</v>
      </c>
      <c r="I96" s="2" t="s">
        <v>95</v>
      </c>
      <c r="J96" s="4">
        <v>1</v>
      </c>
      <c r="K96" s="4">
        <v>2</v>
      </c>
      <c r="L96" s="11">
        <f>SUBTOTAL(3,_xlfn.SINGLE(tbl_summ[RowId]))</f>
        <v>1</v>
      </c>
    </row>
    <row r="97" spans="8:12">
      <c r="H97" s="4">
        <v>76</v>
      </c>
      <c r="I97" s="2" t="s">
        <v>96</v>
      </c>
      <c r="J97" s="4">
        <v>1</v>
      </c>
      <c r="K97" s="4">
        <v>2</v>
      </c>
      <c r="L97" s="11">
        <f>SUBTOTAL(3,_xlfn.SINGLE(tbl_summ[RowId]))</f>
        <v>1</v>
      </c>
    </row>
    <row r="98" spans="8:12">
      <c r="H98" s="4">
        <v>77</v>
      </c>
      <c r="I98" s="2" t="s">
        <v>97</v>
      </c>
      <c r="J98" s="4">
        <v>1</v>
      </c>
      <c r="K98" s="4">
        <v>2</v>
      </c>
      <c r="L98" s="11">
        <f>SUBTOTAL(3,_xlfn.SINGLE(tbl_summ[RowId]))</f>
        <v>1</v>
      </c>
    </row>
    <row r="99" spans="8:12">
      <c r="H99" s="4">
        <v>78</v>
      </c>
      <c r="I99" s="2" t="s">
        <v>98</v>
      </c>
      <c r="J99" s="4">
        <v>1</v>
      </c>
      <c r="K99" s="4">
        <v>2</v>
      </c>
      <c r="L99" s="11">
        <f>SUBTOTAL(3,_xlfn.SINGLE(tbl_summ[RowId]))</f>
        <v>1</v>
      </c>
    </row>
    <row r="100" spans="8:12">
      <c r="H100" s="4">
        <v>79</v>
      </c>
      <c r="I100" s="2" t="s">
        <v>99</v>
      </c>
      <c r="J100" s="4">
        <v>1</v>
      </c>
      <c r="K100" s="4">
        <v>2</v>
      </c>
      <c r="L100" s="11">
        <f>SUBTOTAL(3,_xlfn.SINGLE(tbl_summ[RowId]))</f>
        <v>1</v>
      </c>
    </row>
    <row r="101" spans="8:12">
      <c r="H101" s="4">
        <v>80</v>
      </c>
      <c r="I101" s="2" t="s">
        <v>100</v>
      </c>
      <c r="J101" s="4">
        <v>1</v>
      </c>
      <c r="K101" s="4">
        <v>1</v>
      </c>
      <c r="L101" s="11">
        <f>SUBTOTAL(3,_xlfn.SINGLE(tbl_summ[RowId]))</f>
        <v>1</v>
      </c>
    </row>
    <row r="102" spans="8:12">
      <c r="H102" s="4">
        <v>81</v>
      </c>
      <c r="I102" s="2" t="s">
        <v>101</v>
      </c>
      <c r="J102" s="4">
        <v>1</v>
      </c>
      <c r="K102" s="4">
        <v>2</v>
      </c>
      <c r="L102" s="11">
        <f>SUBTOTAL(3,_xlfn.SINGLE(tbl_summ[RowId]))</f>
        <v>1</v>
      </c>
    </row>
    <row r="103" spans="8:12">
      <c r="H103" s="4">
        <v>82</v>
      </c>
      <c r="I103" s="2" t="s">
        <v>102</v>
      </c>
      <c r="J103" s="4">
        <v>1</v>
      </c>
      <c r="K103" s="4">
        <v>2</v>
      </c>
      <c r="L103" s="11">
        <f>SUBTOTAL(3,_xlfn.SINGLE(tbl_summ[RowId]))</f>
        <v>1</v>
      </c>
    </row>
    <row r="104" spans="8:12">
      <c r="H104" s="4">
        <v>83</v>
      </c>
      <c r="I104" s="2" t="s">
        <v>103</v>
      </c>
      <c r="J104" s="4">
        <v>1</v>
      </c>
      <c r="K104" s="4">
        <v>2</v>
      </c>
      <c r="L104" s="11">
        <f>SUBTOTAL(3,_xlfn.SINGLE(tbl_summ[RowId]))</f>
        <v>1</v>
      </c>
    </row>
    <row r="105" spans="8:12">
      <c r="H105" s="4">
        <v>84</v>
      </c>
      <c r="I105" s="2" t="s">
        <v>104</v>
      </c>
      <c r="J105" s="4">
        <v>1</v>
      </c>
      <c r="K105" s="4">
        <v>2</v>
      </c>
      <c r="L105" s="11">
        <f>SUBTOTAL(3,_xlfn.SINGLE(tbl_summ[RowId]))</f>
        <v>1</v>
      </c>
    </row>
    <row r="106" spans="8:12">
      <c r="H106" s="4">
        <v>85</v>
      </c>
      <c r="I106" s="2" t="s">
        <v>105</v>
      </c>
      <c r="J106" s="4">
        <v>1</v>
      </c>
      <c r="K106" s="4">
        <v>2</v>
      </c>
      <c r="L106" s="11">
        <f>SUBTOTAL(3,_xlfn.SINGLE(tbl_summ[RowId]))</f>
        <v>1</v>
      </c>
    </row>
    <row r="107" spans="8:12">
      <c r="H107" s="4">
        <v>86</v>
      </c>
      <c r="I107" s="2" t="s">
        <v>106</v>
      </c>
      <c r="J107" s="4">
        <v>1</v>
      </c>
      <c r="K107" s="4">
        <v>1</v>
      </c>
      <c r="L107" s="11">
        <f>SUBTOTAL(3,_xlfn.SINGLE(tbl_summ[RowId]))</f>
        <v>1</v>
      </c>
    </row>
    <row r="108" spans="8:12">
      <c r="H108" s="4">
        <v>87</v>
      </c>
      <c r="I108" s="2" t="s">
        <v>107</v>
      </c>
      <c r="J108" s="4">
        <v>1</v>
      </c>
      <c r="K108" s="4">
        <v>1</v>
      </c>
      <c r="L108" s="11">
        <f>SUBTOTAL(3,_xlfn.SINGLE(tbl_summ[RowId]))</f>
        <v>1</v>
      </c>
    </row>
    <row r="109" spans="8:12">
      <c r="H109" s="4">
        <v>88</v>
      </c>
      <c r="I109" s="2" t="s">
        <v>108</v>
      </c>
      <c r="J109" s="4">
        <v>1</v>
      </c>
      <c r="K109" s="4">
        <v>2</v>
      </c>
      <c r="L109" s="11">
        <f>SUBTOTAL(3,_xlfn.SINGLE(tbl_summ[RowId]))</f>
        <v>1</v>
      </c>
    </row>
    <row r="110" spans="8:12">
      <c r="H110" s="4">
        <v>89</v>
      </c>
      <c r="I110" s="2" t="s">
        <v>109</v>
      </c>
      <c r="J110" s="4">
        <v>1</v>
      </c>
      <c r="K110" s="4">
        <v>1</v>
      </c>
      <c r="L110" s="11">
        <f>SUBTOTAL(3,_xlfn.SINGLE(tbl_summ[RowId]))</f>
        <v>1</v>
      </c>
    </row>
    <row r="111" spans="8:12">
      <c r="H111" s="4">
        <v>90</v>
      </c>
      <c r="I111" s="2" t="s">
        <v>110</v>
      </c>
      <c r="J111" s="4">
        <v>1</v>
      </c>
      <c r="K111" s="4">
        <v>2</v>
      </c>
      <c r="L111" s="11">
        <f>SUBTOTAL(3,_xlfn.SINGLE(tbl_summ[RowId]))</f>
        <v>1</v>
      </c>
    </row>
    <row r="112" spans="8:12">
      <c r="H112" s="4">
        <v>91</v>
      </c>
      <c r="I112" s="2" t="s">
        <v>111</v>
      </c>
      <c r="J112" s="4">
        <v>1</v>
      </c>
      <c r="K112" s="4">
        <v>1</v>
      </c>
      <c r="L112" s="11">
        <f>SUBTOTAL(3,_xlfn.SINGLE(tbl_summ[RowId]))</f>
        <v>1</v>
      </c>
    </row>
    <row r="113" spans="8:12">
      <c r="H113" s="4">
        <v>92</v>
      </c>
      <c r="I113" s="2" t="s">
        <v>112</v>
      </c>
      <c r="J113" s="4">
        <v>1</v>
      </c>
      <c r="K113" s="4">
        <v>1</v>
      </c>
      <c r="L113" s="11">
        <f>SUBTOTAL(3,_xlfn.SINGLE(tbl_summ[RowId]))</f>
        <v>1</v>
      </c>
    </row>
    <row r="114" spans="8:12">
      <c r="H114" s="4">
        <v>93</v>
      </c>
      <c r="I114" s="2" t="s">
        <v>113</v>
      </c>
      <c r="J114" s="4">
        <v>1</v>
      </c>
      <c r="K114" s="4">
        <v>1</v>
      </c>
      <c r="L114" s="11">
        <f>SUBTOTAL(3,_xlfn.SINGLE(tbl_summ[RowId]))</f>
        <v>1</v>
      </c>
    </row>
    <row r="115" spans="8:12">
      <c r="H115" s="4">
        <v>94</v>
      </c>
      <c r="I115" s="2" t="s">
        <v>114</v>
      </c>
      <c r="J115" s="4">
        <v>1</v>
      </c>
      <c r="K115" s="4">
        <v>1</v>
      </c>
      <c r="L115" s="11">
        <f>SUBTOTAL(3,_xlfn.SINGLE(tbl_summ[RowId]))</f>
        <v>1</v>
      </c>
    </row>
    <row r="116" spans="8:12">
      <c r="H116" s="4">
        <v>95</v>
      </c>
      <c r="I116" s="2" t="s">
        <v>115</v>
      </c>
      <c r="J116" s="4">
        <v>1</v>
      </c>
      <c r="K116" s="4">
        <v>1</v>
      </c>
      <c r="L116" s="11">
        <f>SUBTOTAL(3,_xlfn.SINGLE(tbl_summ[RowId]))</f>
        <v>1</v>
      </c>
    </row>
    <row r="117" spans="8:12">
      <c r="H117" s="4">
        <v>96</v>
      </c>
      <c r="I117" s="2" t="s">
        <v>116</v>
      </c>
      <c r="J117" s="4">
        <v>1</v>
      </c>
      <c r="K117" s="4">
        <v>1</v>
      </c>
      <c r="L117" s="11">
        <f>SUBTOTAL(3,_xlfn.SINGLE(tbl_summ[RowId]))</f>
        <v>1</v>
      </c>
    </row>
    <row r="118" spans="8:12">
      <c r="H118" s="4">
        <v>97</v>
      </c>
      <c r="I118" s="2" t="s">
        <v>117</v>
      </c>
      <c r="J118" s="4">
        <v>5</v>
      </c>
      <c r="K118" s="4">
        <v>6</v>
      </c>
      <c r="L118" s="11">
        <f>SUBTOTAL(3,_xlfn.SINGLE(tbl_summ[RowId]))</f>
        <v>1</v>
      </c>
    </row>
    <row r="119" spans="8:12">
      <c r="H119" s="4">
        <v>98</v>
      </c>
      <c r="I119" s="2" t="s">
        <v>118</v>
      </c>
      <c r="J119" s="4">
        <v>10</v>
      </c>
      <c r="K119" s="4">
        <v>55</v>
      </c>
      <c r="L119" s="11">
        <f>SUBTOTAL(3,_xlfn.SINGLE(tbl_summ[RowId]))</f>
        <v>1</v>
      </c>
    </row>
    <row r="120" spans="8:12">
      <c r="H120" s="4">
        <v>99</v>
      </c>
      <c r="I120" s="2" t="s">
        <v>119</v>
      </c>
      <c r="J120" s="4">
        <v>19</v>
      </c>
      <c r="K120" s="4">
        <v>19</v>
      </c>
      <c r="L120" s="11">
        <f>SUBTOTAL(3,_xlfn.SINGLE(tbl_summ[RowId]))</f>
        <v>1</v>
      </c>
    </row>
    <row r="121" spans="8:12">
      <c r="H121" s="4">
        <v>100</v>
      </c>
      <c r="I121" s="2" t="s">
        <v>120</v>
      </c>
      <c r="J121" s="4">
        <v>1</v>
      </c>
      <c r="K121" s="4">
        <v>1</v>
      </c>
      <c r="L121" s="11">
        <f>SUBTOTAL(3,_xlfn.SINGLE(tbl_summ[RowId]))</f>
        <v>1</v>
      </c>
    </row>
    <row r="122" spans="8:12">
      <c r="H122" s="4">
        <v>101</v>
      </c>
      <c r="I122" s="2" t="s">
        <v>121</v>
      </c>
      <c r="J122" s="4">
        <v>9</v>
      </c>
      <c r="K122" s="4">
        <v>23</v>
      </c>
      <c r="L122" s="11">
        <f>SUBTOTAL(3,_xlfn.SINGLE(tbl_summ[RowId]))</f>
        <v>1</v>
      </c>
    </row>
    <row r="123" spans="8:12">
      <c r="H123" s="4">
        <v>102</v>
      </c>
      <c r="I123" s="14" t="s">
        <v>122</v>
      </c>
      <c r="J123" s="4">
        <v>1</v>
      </c>
      <c r="K123" s="4">
        <v>1</v>
      </c>
      <c r="L123" s="11">
        <f>SUBTOTAL(3,_xlfn.SINGLE(tbl_summ[RowId]))</f>
        <v>1</v>
      </c>
    </row>
    <row r="124" spans="8:12">
      <c r="H124" s="4">
        <v>103</v>
      </c>
      <c r="I124" s="2" t="s">
        <v>123</v>
      </c>
      <c r="J124" s="4">
        <v>15</v>
      </c>
      <c r="K124" s="4">
        <v>93</v>
      </c>
      <c r="L124" s="11">
        <f>SUBTOTAL(3,_xlfn.SINGLE(tbl_summ[RowId]))</f>
        <v>1</v>
      </c>
    </row>
    <row r="125" spans="8:12">
      <c r="H125" s="4">
        <v>104</v>
      </c>
      <c r="I125" s="2" t="s">
        <v>124</v>
      </c>
      <c r="J125" s="4">
        <v>2</v>
      </c>
      <c r="K125" s="4">
        <v>2</v>
      </c>
      <c r="L125" s="11">
        <f>SUBTOTAL(3,_xlfn.SINGLE(tbl_summ[RowId]))</f>
        <v>1</v>
      </c>
    </row>
    <row r="126" spans="8:12">
      <c r="H126" s="4">
        <v>105</v>
      </c>
      <c r="I126" s="2" t="s">
        <v>125</v>
      </c>
      <c r="J126" s="4">
        <v>17</v>
      </c>
      <c r="K126" s="4">
        <v>20</v>
      </c>
      <c r="L126" s="11">
        <f>SUBTOTAL(3,_xlfn.SINGLE(tbl_summ[RowId]))</f>
        <v>1</v>
      </c>
    </row>
    <row r="127" spans="8:12">
      <c r="H127" s="4">
        <v>106</v>
      </c>
      <c r="I127" s="2" t="s">
        <v>126</v>
      </c>
      <c r="J127" s="4">
        <v>17</v>
      </c>
      <c r="K127" s="4">
        <v>25</v>
      </c>
      <c r="L127" s="11">
        <f>SUBTOTAL(3,_xlfn.SINGLE(tbl_summ[RowId]))</f>
        <v>1</v>
      </c>
    </row>
    <row r="128" spans="8:12">
      <c r="H128" s="4">
        <v>107</v>
      </c>
      <c r="I128" s="2" t="s">
        <v>127</v>
      </c>
      <c r="J128" s="4">
        <v>20</v>
      </c>
      <c r="K128" s="4">
        <v>217</v>
      </c>
      <c r="L128" s="11">
        <f>SUBTOTAL(3,_xlfn.SINGLE(tbl_summ[RowId]))</f>
        <v>1</v>
      </c>
    </row>
    <row r="129" spans="8:12">
      <c r="H129" s="4">
        <v>108</v>
      </c>
      <c r="I129" s="2" t="s">
        <v>128</v>
      </c>
      <c r="J129" s="4">
        <v>1</v>
      </c>
      <c r="K129" s="4">
        <v>7</v>
      </c>
      <c r="L129" s="11">
        <f>SUBTOTAL(3,_xlfn.SINGLE(tbl_summ[RowId]))</f>
        <v>1</v>
      </c>
    </row>
    <row r="130" spans="8:12">
      <c r="H130" s="4">
        <v>109</v>
      </c>
      <c r="I130" s="2" t="s">
        <v>129</v>
      </c>
      <c r="J130" s="4">
        <v>2</v>
      </c>
      <c r="K130" s="4">
        <v>20</v>
      </c>
      <c r="L130" s="11">
        <f>SUBTOTAL(3,_xlfn.SINGLE(tbl_summ[RowId]))</f>
        <v>1</v>
      </c>
    </row>
    <row r="131" spans="8:12">
      <c r="H131" s="4">
        <v>110</v>
      </c>
      <c r="I131" s="2" t="s">
        <v>130</v>
      </c>
      <c r="J131" s="4">
        <v>5</v>
      </c>
      <c r="K131" s="4">
        <v>5</v>
      </c>
      <c r="L131" s="11">
        <f>SUBTOTAL(3,_xlfn.SINGLE(tbl_summ[RowId]))</f>
        <v>1</v>
      </c>
    </row>
    <row r="132" spans="8:12">
      <c r="H132" s="4">
        <v>111</v>
      </c>
      <c r="I132" s="2" t="s">
        <v>131</v>
      </c>
      <c r="J132" s="4">
        <v>18</v>
      </c>
      <c r="K132" s="4">
        <v>18</v>
      </c>
      <c r="L132" s="11">
        <f>SUBTOTAL(3,_xlfn.SINGLE(tbl_summ[RowId]))</f>
        <v>1</v>
      </c>
    </row>
    <row r="133" spans="8:12">
      <c r="H133" s="4">
        <v>112</v>
      </c>
      <c r="I133" s="2" t="s">
        <v>132</v>
      </c>
      <c r="J133" s="4">
        <v>47</v>
      </c>
      <c r="K133" s="4">
        <v>96</v>
      </c>
      <c r="L133" s="11">
        <f>SUBTOTAL(3,_xlfn.SINGLE(tbl_summ[RowId]))</f>
        <v>1</v>
      </c>
    </row>
    <row r="134" spans="8:12">
      <c r="H134" s="4">
        <v>113</v>
      </c>
      <c r="I134" s="2" t="s">
        <v>133</v>
      </c>
      <c r="J134" s="4">
        <v>25</v>
      </c>
      <c r="K134" s="4">
        <v>359</v>
      </c>
      <c r="L134" s="11">
        <f>SUBTOTAL(3,_xlfn.SINGLE(tbl_summ[RowId]))</f>
        <v>1</v>
      </c>
    </row>
    <row r="135" spans="8:12">
      <c r="H135" s="4">
        <v>114</v>
      </c>
      <c r="I135" s="14" t="s">
        <v>134</v>
      </c>
      <c r="J135" s="4">
        <v>3</v>
      </c>
      <c r="K135" s="4">
        <v>24</v>
      </c>
      <c r="L135" s="11">
        <f>SUBTOTAL(3,_xlfn.SINGLE(tbl_summ[RowId]))</f>
        <v>1</v>
      </c>
    </row>
    <row r="136" spans="8:12">
      <c r="H136" s="4">
        <v>115</v>
      </c>
      <c r="I136" s="2" t="s">
        <v>135</v>
      </c>
      <c r="J136" s="4">
        <v>3</v>
      </c>
      <c r="K136" s="4">
        <v>3</v>
      </c>
      <c r="L136" s="11">
        <f>SUBTOTAL(3,_xlfn.SINGLE(tbl_summ[RowId]))</f>
        <v>1</v>
      </c>
    </row>
    <row r="137" spans="8:12">
      <c r="H137" s="4">
        <v>116</v>
      </c>
      <c r="I137" s="2" t="s">
        <v>136</v>
      </c>
      <c r="J137" s="4">
        <v>1</v>
      </c>
      <c r="K137" s="4">
        <v>1</v>
      </c>
      <c r="L137" s="11">
        <f>SUBTOTAL(3,_xlfn.SINGLE(tbl_summ[RowId]))</f>
        <v>1</v>
      </c>
    </row>
    <row r="138" spans="8:12">
      <c r="H138" s="4">
        <v>117</v>
      </c>
      <c r="I138" s="2" t="s">
        <v>137</v>
      </c>
      <c r="J138" s="4">
        <v>50</v>
      </c>
      <c r="K138" s="4">
        <v>54</v>
      </c>
      <c r="L138" s="11">
        <f>SUBTOTAL(3,_xlfn.SINGLE(tbl_summ[RowId]))</f>
        <v>1</v>
      </c>
    </row>
    <row r="139" spans="8:12">
      <c r="H139" s="4">
        <v>118</v>
      </c>
      <c r="I139" s="2" t="s">
        <v>138</v>
      </c>
      <c r="J139" s="4">
        <v>1</v>
      </c>
      <c r="K139" s="4">
        <v>1</v>
      </c>
      <c r="L139" s="11">
        <f>SUBTOTAL(3,_xlfn.SINGLE(tbl_summ[RowId]))</f>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49A"/>
  </sheetPr>
  <dimension ref="A2:AR1168"/>
  <sheetViews>
    <sheetView showGridLines="0" tabSelected="1" workbookViewId="0">
      <selection activeCell="C7" sqref="C7"/>
    </sheetView>
  </sheetViews>
  <sheetFormatPr defaultRowHeight="15"/>
  <cols>
    <col min="1" max="1" width="9.23046875" style="266"/>
    <col min="3" max="3" width="21" customWidth="1"/>
    <col min="4" max="4" width="15" customWidth="1"/>
    <col min="10" max="10" width="8" customWidth="1"/>
    <col min="11" max="11" width="18" customWidth="1"/>
    <col min="12" max="12" width="50" customWidth="1"/>
    <col min="13" max="13" width="9.3046875" customWidth="1"/>
    <col min="14" max="14" width="13" customWidth="1"/>
    <col min="15" max="15" width="18" customWidth="1"/>
    <col min="16" max="16" width="1.07421875" customWidth="1"/>
    <col min="17" max="17" width="18" customWidth="1"/>
    <col min="18" max="18" width="1.07421875" customWidth="1"/>
    <col min="19" max="19" width="18" customWidth="1"/>
    <col min="20" max="20" width="1.07421875" customWidth="1"/>
    <col min="21" max="21" width="18" customWidth="1"/>
    <col min="22" max="22" width="1.07421875" customWidth="1"/>
    <col min="23" max="23" width="18" customWidth="1"/>
    <col min="24" max="24" width="1.07421875" customWidth="1"/>
    <col min="25" max="25" width="18" customWidth="1"/>
    <col min="26" max="26" width="1.07421875" customWidth="1"/>
    <col min="27" max="27" width="18" customWidth="1"/>
    <col min="28" max="28" width="1.07421875" customWidth="1"/>
    <col min="29" max="29" width="18" customWidth="1"/>
    <col min="30" max="30" width="1.07421875" customWidth="1"/>
    <col min="31" max="31" width="18" customWidth="1"/>
    <col min="32" max="32" width="1.07421875" customWidth="1"/>
    <col min="33" max="33" width="18" customWidth="1"/>
    <col min="34" max="34" width="1.07421875" customWidth="1"/>
    <col min="35" max="35" width="18" customWidth="1"/>
    <col min="36" max="36" width="1.07421875" customWidth="1"/>
    <col min="37" max="37" width="18" customWidth="1"/>
    <col min="38" max="38" width="1.07421875" customWidth="1"/>
    <col min="39" max="39" width="18" customWidth="1"/>
    <col min="40" max="40" width="1.07421875" customWidth="1"/>
    <col min="41" max="41" width="18" customWidth="1"/>
    <col min="42" max="42" width="1.07421875" customWidth="1"/>
    <col min="43" max="43" width="18" customWidth="1"/>
    <col min="44" max="44" width="1.07421875" customWidth="1"/>
  </cols>
  <sheetData>
    <row r="2" spans="3:44" ht="29.5">
      <c r="C2" s="214" t="s">
        <v>4563</v>
      </c>
    </row>
    <row r="3" spans="3:44">
      <c r="C3" s="2" t="s">
        <v>139</v>
      </c>
    </row>
    <row r="5" spans="3:44" ht="18">
      <c r="C5" s="15" t="s">
        <v>0</v>
      </c>
      <c r="D5" s="16" t="s">
        <v>4</v>
      </c>
      <c r="E5" s="16" t="s">
        <v>5</v>
      </c>
    </row>
    <row r="6" spans="3:44">
      <c r="C6" s="3" t="s">
        <v>142</v>
      </c>
      <c r="D6" s="4">
        <f>COUNTA(_xlfn.UNIQUE(_xlfn._xlws.FILTER(tbl_summ[Property],tbl_summ[IsVisible])))</f>
        <v>118</v>
      </c>
      <c r="E6" s="4">
        <f>COUNTA(_xlfn.UNIQUE(tbl_pros[Properties]))</f>
        <v>119</v>
      </c>
      <c r="F6" s="4"/>
      <c r="I6">
        <f>COUNTA(_xlfn.UNIQUE(tbl_pros[Properties]))</f>
        <v>119</v>
      </c>
    </row>
    <row r="7" spans="3:44" ht="15.5">
      <c r="C7" s="3" t="s">
        <v>2</v>
      </c>
      <c r="D7" s="4">
        <f>COUNTA(tbl_pros[Values])</f>
        <v>1094</v>
      </c>
      <c r="E7" s="4">
        <f>COUNTA(_xlfn.UNIQUE(_xlfn._xlws.FILTER(tbl_pros[Values],tbl_pros[IsVisible])))</f>
        <v>1017</v>
      </c>
      <c r="F7" s="4"/>
      <c r="K7" s="5" t="str">
        <f>IFERROR(IF(COUNTA(tbl_pros[RowId])&lt;&gt;SUM(tbl_pros[IsVisible]),"Column filters applied--Totals now reflect column filters!",""),"")</f>
        <v/>
      </c>
    </row>
    <row r="8" spans="3:44" ht="15.5">
      <c r="K8" s="5" t="str">
        <f>IFERROR(IF(_xlfn.AGGREGATE(3,3,tbl_pros[Values])&lt;&gt;SUM(tbl_pros[IsVisible]),"Properties w/Empty Values Detected!",""),"")</f>
        <v>Properties w/Empty Values Detected!</v>
      </c>
    </row>
    <row r="10" spans="3:44">
      <c r="J10" s="16" t="s">
        <v>8</v>
      </c>
      <c r="K10" s="17" t="s">
        <v>142</v>
      </c>
      <c r="L10" s="17" t="s">
        <v>2</v>
      </c>
      <c r="M10" s="16" t="s">
        <v>3</v>
      </c>
      <c r="N10" s="16" t="s">
        <v>143</v>
      </c>
      <c r="O10" s="18" t="s">
        <v>144</v>
      </c>
      <c r="P10" s="10" t="s">
        <v>145</v>
      </c>
      <c r="Q10" s="18" t="s">
        <v>146</v>
      </c>
      <c r="R10" s="10" t="s">
        <v>147</v>
      </c>
      <c r="S10" s="18" t="s">
        <v>148</v>
      </c>
      <c r="T10" s="10" t="s">
        <v>149</v>
      </c>
      <c r="U10" s="18" t="s">
        <v>150</v>
      </c>
      <c r="V10" s="10" t="s">
        <v>151</v>
      </c>
      <c r="W10" s="18" t="s">
        <v>152</v>
      </c>
      <c r="X10" s="10" t="s">
        <v>153</v>
      </c>
      <c r="Y10" s="18" t="s">
        <v>154</v>
      </c>
      <c r="Z10" s="10" t="s">
        <v>155</v>
      </c>
      <c r="AA10" s="18" t="s">
        <v>156</v>
      </c>
      <c r="AB10" s="10" t="s">
        <v>157</v>
      </c>
      <c r="AC10" s="18" t="s">
        <v>158</v>
      </c>
      <c r="AD10" s="10" t="s">
        <v>159</v>
      </c>
      <c r="AE10" s="18" t="s">
        <v>160</v>
      </c>
      <c r="AF10" s="10" t="s">
        <v>161</v>
      </c>
      <c r="AG10" s="18" t="s">
        <v>162</v>
      </c>
      <c r="AH10" s="10" t="s">
        <v>163</v>
      </c>
      <c r="AI10" s="18" t="s">
        <v>164</v>
      </c>
      <c r="AJ10" s="10" t="s">
        <v>165</v>
      </c>
      <c r="AK10" s="18" t="s">
        <v>166</v>
      </c>
      <c r="AL10" s="10" t="s">
        <v>167</v>
      </c>
      <c r="AM10" s="18" t="s">
        <v>168</v>
      </c>
      <c r="AN10" s="10" t="s">
        <v>169</v>
      </c>
      <c r="AO10" s="18" t="s">
        <v>170</v>
      </c>
      <c r="AP10" s="10" t="s">
        <v>171</v>
      </c>
      <c r="AQ10" s="18" t="s">
        <v>172</v>
      </c>
      <c r="AR10" s="19" t="s">
        <v>9</v>
      </c>
    </row>
    <row r="11" spans="3:44">
      <c r="J11" s="4">
        <v>1</v>
      </c>
      <c r="K11" s="20" t="s">
        <v>10</v>
      </c>
      <c r="L11" s="2" t="s">
        <v>173</v>
      </c>
      <c r="M11" s="4">
        <v>1</v>
      </c>
      <c r="N11" s="4" t="s">
        <v>174</v>
      </c>
      <c r="O11" s="21" t="str">
        <f>HYPERLINK("obsidian://open?vault=o2&amp;file=DV%20Implicit%20Fields.md","DV Implicit Fields")</f>
        <v>DV Implicit Fields</v>
      </c>
      <c r="P11" s="11" t="s">
        <v>175</v>
      </c>
      <c r="AR11" s="11">
        <f>SUBTOTAL(3,_xlfn.SINGLE(tbl_pros[RowId]))</f>
        <v>1</v>
      </c>
    </row>
    <row r="12" spans="3:44">
      <c r="J12" s="4">
        <v>2</v>
      </c>
      <c r="K12" s="20" t="s">
        <v>10</v>
      </c>
      <c r="L12" s="2" t="s">
        <v>176</v>
      </c>
      <c r="M12" s="4">
        <v>1</v>
      </c>
      <c r="N12" s="4" t="s">
        <v>177</v>
      </c>
      <c r="O12" s="21" t="str">
        <f>HYPERLINK("obsidian://open?vault=o2&amp;file=Random%20packages%20from%20Walmart.md","Random packages from Walmart")</f>
        <v>Random packages from Walmart</v>
      </c>
      <c r="P12" s="11" t="s">
        <v>175</v>
      </c>
      <c r="AR12" s="11">
        <f>SUBTOTAL(3,_xlfn.SINGLE(tbl_pros[RowId]))</f>
        <v>1</v>
      </c>
    </row>
    <row r="13" spans="3:44">
      <c r="J13" s="4">
        <v>3</v>
      </c>
      <c r="K13" s="20" t="s">
        <v>11</v>
      </c>
      <c r="L13" s="2" t="s">
        <v>178</v>
      </c>
      <c r="M13" s="4">
        <v>1</v>
      </c>
      <c r="N13" s="4" t="s">
        <v>179</v>
      </c>
      <c r="O13" s="21" t="str">
        <f>HYPERLINK("obsidian://open?vault=o2&amp;file=Twelve%20Steps%20of%20AA.md","Twelve Steps of AA")</f>
        <v>Twelve Steps of AA</v>
      </c>
      <c r="P13" s="11" t="s">
        <v>175</v>
      </c>
      <c r="AR13" s="11">
        <f>SUBTOTAL(3,_xlfn.SINGLE(tbl_pros[RowId]))</f>
        <v>1</v>
      </c>
    </row>
    <row r="14" spans="3:44">
      <c r="J14" s="4">
        <v>4</v>
      </c>
      <c r="K14" s="20" t="s">
        <v>11</v>
      </c>
      <c r="L14" s="2" t="s">
        <v>180</v>
      </c>
      <c r="M14" s="4">
        <v>1</v>
      </c>
      <c r="N14" s="4" t="s">
        <v>181</v>
      </c>
      <c r="O14" s="21" t="str">
        <f>HYPERLINK("obsidian://open?vault=o2&amp;file=20%20AMAZING%20Art%20Workspace%20Hacks%20%28FREE%20or%20cheap%21%29.md","20 AMAZING Art Workspace Hacks (FREE or cheap!)")</f>
        <v>20 AMAZING Art Workspace Hacks (FREE or cheap!)</v>
      </c>
      <c r="P14" s="11" t="s">
        <v>175</v>
      </c>
      <c r="AR14" s="11">
        <f>SUBTOTAL(3,_xlfn.SINGLE(tbl_pros[RowId]))</f>
        <v>1</v>
      </c>
    </row>
    <row r="15" spans="3:44">
      <c r="J15" s="4">
        <v>5</v>
      </c>
      <c r="K15" s="20" t="s">
        <v>11</v>
      </c>
      <c r="L15" s="2" t="s">
        <v>182</v>
      </c>
      <c r="M15" s="4">
        <v>1</v>
      </c>
      <c r="N15" s="4" t="s">
        <v>183</v>
      </c>
      <c r="O15" s="21" t="str">
        <f>HYPERLINK("obsidian://open?vault=o2&amp;file=22%20FREE%20Windows%20Utilities%20EVERY%20User%20MUST%20Know%20About%21.md","22 FREE Windows Utilities EVERY User MUST Know About!")</f>
        <v>22 FREE Windows Utilities EVERY User MUST Know About!</v>
      </c>
      <c r="P15" s="11" t="s">
        <v>175</v>
      </c>
      <c r="AR15" s="11">
        <f>SUBTOTAL(3,_xlfn.SINGLE(tbl_pros[RowId]))</f>
        <v>1</v>
      </c>
    </row>
    <row r="16" spans="3:44">
      <c r="J16" s="4">
        <v>6</v>
      </c>
      <c r="K16" s="20" t="s">
        <v>11</v>
      </c>
      <c r="L16" s="2" t="s">
        <v>184</v>
      </c>
      <c r="M16" s="4">
        <v>1</v>
      </c>
      <c r="N16" s="4" t="s">
        <v>185</v>
      </c>
      <c r="O16" s="21" t="str">
        <f>HYPERLINK("obsidian://open?vault=o2&amp;file=8%20Easy%20Food%20Plating%20Hacks%20That%20Will%20Blow%20You%20Away.md","8 Easy Food Plating Hacks That Will Blow You Away")</f>
        <v>8 Easy Food Plating Hacks That Will Blow You Away</v>
      </c>
      <c r="P16" s="11" t="s">
        <v>175</v>
      </c>
      <c r="AR16" s="11">
        <f>SUBTOTAL(3,_xlfn.SINGLE(tbl_pros[RowId]))</f>
        <v>1</v>
      </c>
    </row>
    <row r="17" spans="10:44">
      <c r="J17" s="4">
        <v>7</v>
      </c>
      <c r="K17" s="20" t="s">
        <v>11</v>
      </c>
      <c r="L17" s="2" t="s">
        <v>186</v>
      </c>
      <c r="M17" s="4">
        <v>1</v>
      </c>
      <c r="N17" s="4" t="s">
        <v>187</v>
      </c>
      <c r="O17" s="21" t="str">
        <f>HYPERLINK("obsidian://open?vault=o2&amp;file=Manage%20Users.md","Manage Users")</f>
        <v>Manage Users</v>
      </c>
      <c r="P17" s="11" t="s">
        <v>175</v>
      </c>
      <c r="AR17" s="11">
        <f>SUBTOTAL(3,_xlfn.SINGLE(tbl_pros[RowId]))</f>
        <v>1</v>
      </c>
    </row>
    <row r="18" spans="10:44">
      <c r="J18" s="4">
        <v>8</v>
      </c>
      <c r="K18" s="20" t="s">
        <v>11</v>
      </c>
      <c r="L18" s="2" t="s">
        <v>188</v>
      </c>
      <c r="M18" s="4">
        <v>1</v>
      </c>
      <c r="N18" s="4" t="s">
        <v>189</v>
      </c>
      <c r="O18" s="21" t="str">
        <f>HYPERLINK("obsidian://open?vault=o2&amp;file=Automatically%20move%20notes%20to%20a%20folder.md","Automatically move notes to a folder")</f>
        <v>Automatically move notes to a folder</v>
      </c>
      <c r="P18" s="11" t="s">
        <v>175</v>
      </c>
      <c r="AR18" s="11">
        <f>SUBTOTAL(3,_xlfn.SINGLE(tbl_pros[RowId]))</f>
        <v>1</v>
      </c>
    </row>
    <row r="19" spans="10:44">
      <c r="J19" s="4">
        <v>9</v>
      </c>
      <c r="K19" s="20" t="s">
        <v>11</v>
      </c>
      <c r="L19" s="2" t="s">
        <v>190</v>
      </c>
      <c r="M19" s="4">
        <v>1</v>
      </c>
      <c r="N19" s="4" t="s">
        <v>191</v>
      </c>
      <c r="O19" s="21" t="str">
        <f>HYPERLINK("obsidian://open?vault=o2&amp;file=Better%20Than%20Grandmas%20Dinner%21%20My%20Parents%20Were%20Stunned%20After%20Trying%20It%21%21%21.md","Better Than Grandmas Dinner! My Parents Were Stunned After Trying It!!!")</f>
        <v>Better Than Grandmas Dinner! My Parents Were Stunned After Trying It!!!</v>
      </c>
      <c r="P19" s="11" t="s">
        <v>175</v>
      </c>
      <c r="AR19" s="11">
        <f>SUBTOTAL(3,_xlfn.SINGLE(tbl_pros[RowId]))</f>
        <v>1</v>
      </c>
    </row>
    <row r="20" spans="10:44">
      <c r="J20" s="4">
        <v>10</v>
      </c>
      <c r="K20" s="20" t="s">
        <v>11</v>
      </c>
      <c r="L20" s="2" t="s">
        <v>192</v>
      </c>
      <c r="M20" s="4">
        <v>1</v>
      </c>
      <c r="N20" s="4" t="s">
        <v>193</v>
      </c>
      <c r="O20" s="21" t="str">
        <f>HYPERLINK("obsidian://open?vault=o2&amp;file=Blooms%20Taxonomy-Higher%20Order%20Thinking.md","Blooms Taxonomy-Higher Order Thinking")</f>
        <v>Blooms Taxonomy-Higher Order Thinking</v>
      </c>
      <c r="P20" s="11" t="s">
        <v>175</v>
      </c>
      <c r="AR20" s="11">
        <f>SUBTOTAL(3,_xlfn.SINGLE(tbl_pros[RowId]))</f>
        <v>1</v>
      </c>
    </row>
    <row r="21" spans="10:44">
      <c r="J21" s="4">
        <v>11</v>
      </c>
      <c r="K21" s="20" t="s">
        <v>11</v>
      </c>
      <c r="L21" s="2" t="s">
        <v>194</v>
      </c>
      <c r="M21" s="4">
        <v>1</v>
      </c>
      <c r="N21" s="4" t="s">
        <v>195</v>
      </c>
      <c r="O21" s="21" t="str">
        <f>HYPERLINK("obsidian://open?vault=o2&amp;file=Setup%20Multi%20Row%20Tabs%20in%20Firefox.md","Setup Multi Row Tabs in Firefox")</f>
        <v>Setup Multi Row Tabs in Firefox</v>
      </c>
      <c r="P21" s="11" t="s">
        <v>175</v>
      </c>
      <c r="AR21" s="11">
        <f>SUBTOTAL(3,_xlfn.SINGLE(tbl_pros[RowId]))</f>
        <v>1</v>
      </c>
    </row>
    <row r="22" spans="10:44">
      <c r="J22" s="4">
        <v>12</v>
      </c>
      <c r="K22" s="20" t="s">
        <v>11</v>
      </c>
      <c r="L22" s="2" t="s">
        <v>197</v>
      </c>
      <c r="M22" s="4">
        <v>1</v>
      </c>
      <c r="N22" s="4" t="s">
        <v>198</v>
      </c>
      <c r="O22" s="21" t="str">
        <f>HYPERLINK("obsidian://open?vault=o2&amp;file=Manage%20Users.md","Manage Users")</f>
        <v>Manage Users</v>
      </c>
      <c r="P22" s="11" t="s">
        <v>175</v>
      </c>
      <c r="AR22" s="11">
        <f>SUBTOTAL(3,_xlfn.SINGLE(tbl_pros[RowId]))</f>
        <v>1</v>
      </c>
    </row>
    <row r="23" spans="10:44">
      <c r="J23" s="4">
        <v>13</v>
      </c>
      <c r="K23" s="20" t="s">
        <v>11</v>
      </c>
      <c r="L23" s="2" t="s">
        <v>200</v>
      </c>
      <c r="M23" s="4">
        <v>1</v>
      </c>
      <c r="N23" s="4" t="s">
        <v>201</v>
      </c>
      <c r="O23" s="21" t="str">
        <f>HYPERLINK("obsidian://open?vault=o2&amp;file=Free%20Lightroom%20Tutorial%20%20Adobe%20Lightroom%20Essentials%20Training%20Course.md","Free Lightroom Tutorial  Adobe Lightroom Essentials Training Course")</f>
        <v>Free Lightroom Tutorial  Adobe Lightroom Essentials Training Course</v>
      </c>
      <c r="P23" s="11" t="s">
        <v>175</v>
      </c>
      <c r="AR23" s="11">
        <f>SUBTOTAL(3,_xlfn.SINGLE(tbl_pros[RowId]))</f>
        <v>1</v>
      </c>
    </row>
    <row r="24" spans="10:44">
      <c r="J24" s="4">
        <v>14</v>
      </c>
      <c r="K24" s="20" t="s">
        <v>11</v>
      </c>
      <c r="L24" s="2" t="s">
        <v>202</v>
      </c>
      <c r="M24" s="4">
        <v>1</v>
      </c>
      <c r="N24" s="4" t="s">
        <v>203</v>
      </c>
      <c r="O24" s="21" t="str">
        <f>HYPERLINK("obsidian://open?vault=o2&amp;file=Blooms%20Taxonomy-Higher%20Order%20Thinking.md","Blooms Taxonomy-Higher Order Thinking")</f>
        <v>Blooms Taxonomy-Higher Order Thinking</v>
      </c>
      <c r="P24" s="11" t="s">
        <v>175</v>
      </c>
      <c r="AR24" s="11">
        <f>SUBTOTAL(3,_xlfn.SINGLE(tbl_pros[RowId]))</f>
        <v>1</v>
      </c>
    </row>
    <row r="25" spans="10:44">
      <c r="J25" s="4">
        <v>15</v>
      </c>
      <c r="K25" s="20" t="s">
        <v>11</v>
      </c>
      <c r="L25" s="2" t="s">
        <v>204</v>
      </c>
      <c r="M25" s="4">
        <v>1</v>
      </c>
      <c r="N25" s="4" t="s">
        <v>205</v>
      </c>
      <c r="O25" s="21" t="str">
        <f>HYPERLINK("obsidian://open?vault=o2&amp;file=How%20I%20Would%20Learn%20Obsidian%20MD%20%28If%20I%20could%20start%20over%29.md","How I Would Learn Obsidian MD (If I could start over)")</f>
        <v>How I Would Learn Obsidian MD (If I could start over)</v>
      </c>
      <c r="P25" s="11" t="s">
        <v>175</v>
      </c>
      <c r="AR25" s="11">
        <f>SUBTOTAL(3,_xlfn.SINGLE(tbl_pros[RowId]))</f>
        <v>1</v>
      </c>
    </row>
    <row r="26" spans="10:44">
      <c r="J26" s="4">
        <v>16</v>
      </c>
      <c r="K26" s="20" t="s">
        <v>11</v>
      </c>
      <c r="L26" s="2" t="s">
        <v>206</v>
      </c>
      <c r="M26" s="4">
        <v>1</v>
      </c>
      <c r="N26" s="4" t="s">
        <v>207</v>
      </c>
      <c r="O26" s="21" t="str">
        <f>HYPERLINK("obsidian://open?vault=o2&amp;file=How%20To%20Cook%20a%20Chicken%20Breast%20-%20FlavCity%20with%20Bobby%20Parrish.md","How To Cook a Chicken Breast - FlavCity with Bobby Parrish")</f>
        <v>How To Cook a Chicken Breast - FlavCity with Bobby Parrish</v>
      </c>
      <c r="P26" s="11" t="s">
        <v>175</v>
      </c>
      <c r="AR26" s="11">
        <f>SUBTOTAL(3,_xlfn.SINGLE(tbl_pros[RowId]))</f>
        <v>1</v>
      </c>
    </row>
    <row r="27" spans="10:44">
      <c r="J27" s="4">
        <v>17</v>
      </c>
      <c r="K27" s="20" t="s">
        <v>11</v>
      </c>
      <c r="L27" s="2" t="s">
        <v>208</v>
      </c>
      <c r="M27" s="4">
        <v>1</v>
      </c>
      <c r="N27" s="4" t="s">
        <v>209</v>
      </c>
      <c r="O27" s="21" t="str">
        <f>HYPERLINK("obsidian://open?vault=o2&amp;file=Windows%2010%20and%2011%20Wont%20Boot%2C%20How%20To%20Fix%20UEFI%20Partition.md","Windows 10 and 11 Wont Boot, How To Fix UEFI Partition")</f>
        <v>Windows 10 and 11 Wont Boot, How To Fix UEFI Partition</v>
      </c>
      <c r="P27" s="11" t="s">
        <v>175</v>
      </c>
      <c r="AR27" s="11">
        <f>SUBTOTAL(3,_xlfn.SINGLE(tbl_pros[RowId]))</f>
        <v>1</v>
      </c>
    </row>
    <row r="28" spans="10:44">
      <c r="J28" s="4">
        <v>18</v>
      </c>
      <c r="K28" s="20" t="s">
        <v>11</v>
      </c>
      <c r="L28" s="2" t="s">
        <v>210</v>
      </c>
      <c r="M28" s="4">
        <v>1</v>
      </c>
      <c r="N28" s="4" t="s">
        <v>211</v>
      </c>
      <c r="O28" s="21" t="str">
        <f>HYPERLINK("obsidian://open?vault=o2&amp;file=How%20To%20Hide%20Wires%20Behind%20Wall%20-%20NO%20DRYWALL%20REPAIR%20NEEDED%20Hiding%20Wires.md","How To Hide Wires Behind Wall - NO DRYWALL REPAIR NEEDED Hiding Wires")</f>
        <v>How To Hide Wires Behind Wall - NO DRYWALL REPAIR NEEDED Hiding Wires</v>
      </c>
      <c r="P28" s="11" t="s">
        <v>175</v>
      </c>
      <c r="AR28" s="11">
        <f>SUBTOTAL(3,_xlfn.SINGLE(tbl_pros[RowId]))</f>
        <v>1</v>
      </c>
    </row>
    <row r="29" spans="10:44">
      <c r="J29" s="4">
        <v>19</v>
      </c>
      <c r="K29" s="20" t="s">
        <v>11</v>
      </c>
      <c r="L29" s="2" t="s">
        <v>212</v>
      </c>
      <c r="M29" s="4">
        <v>1</v>
      </c>
      <c r="N29" s="4" t="s">
        <v>213</v>
      </c>
      <c r="O29" s="21" t="str">
        <f>HYPERLINK("obsidian://open?vault=o2&amp;file=Flat%20Icon%20and%20Shadow%20Using%20The%20Blend%20Tool%20In%20Adobe%20Illustrator.md","Flat Icon and Shadow Using The Blend Tool In Adobe Illustrator")</f>
        <v>Flat Icon and Shadow Using The Blend Tool In Adobe Illustrator</v>
      </c>
      <c r="P29" s="11" t="s">
        <v>175</v>
      </c>
      <c r="AR29" s="11">
        <f>SUBTOTAL(3,_xlfn.SINGLE(tbl_pros[RowId]))</f>
        <v>1</v>
      </c>
    </row>
    <row r="30" spans="10:44">
      <c r="J30" s="4">
        <v>20</v>
      </c>
      <c r="K30" s="20" t="s">
        <v>11</v>
      </c>
      <c r="L30" s="2" t="s">
        <v>214</v>
      </c>
      <c r="M30" s="4">
        <v>1</v>
      </c>
      <c r="N30" s="4" t="s">
        <v>215</v>
      </c>
      <c r="O30"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30" s="11" t="s">
        <v>175</v>
      </c>
      <c r="AR30" s="11">
        <f>SUBTOTAL(3,_xlfn.SINGLE(tbl_pros[RowId]))</f>
        <v>1</v>
      </c>
    </row>
    <row r="31" spans="10:44">
      <c r="J31" s="4">
        <v>21</v>
      </c>
      <c r="K31" s="20" t="s">
        <v>11</v>
      </c>
      <c r="L31" s="2" t="s">
        <v>216</v>
      </c>
      <c r="M31" s="4">
        <v>1</v>
      </c>
      <c r="N31" s="4" t="s">
        <v>217</v>
      </c>
      <c r="O31" s="21" t="str">
        <f>HYPERLINK("obsidian://open?vault=o2&amp;file=I%20Made%20an%20App%20that%20KEEPS%20Windows%2011%20Debloated%20%26%20Optimized.md","I Made an App that KEEPS Windows 11 Debloated &amp; Optimized")</f>
        <v>I Made an App that KEEPS Windows 11 Debloated &amp; Optimized</v>
      </c>
      <c r="P31" s="11" t="s">
        <v>175</v>
      </c>
      <c r="AR31" s="11">
        <f>SUBTOTAL(3,_xlfn.SINGLE(tbl_pros[RowId]))</f>
        <v>1</v>
      </c>
    </row>
    <row r="32" spans="10:44">
      <c r="J32" s="4">
        <v>22</v>
      </c>
      <c r="K32" s="20" t="s">
        <v>11</v>
      </c>
      <c r="L32" s="2" t="s">
        <v>218</v>
      </c>
      <c r="M32" s="4">
        <v>1</v>
      </c>
      <c r="N32" s="4" t="s">
        <v>219</v>
      </c>
      <c r="O32" s="21" t="str">
        <f>HYPERLINK("obsidian://open?vault=o2&amp;file=Manage%20Users.md","Manage Users")</f>
        <v>Manage Users</v>
      </c>
      <c r="P32" s="11" t="s">
        <v>175</v>
      </c>
      <c r="AR32" s="11">
        <f>SUBTOTAL(3,_xlfn.SINGLE(tbl_pros[RowId]))</f>
        <v>1</v>
      </c>
    </row>
    <row r="33" spans="10:44">
      <c r="J33" s="4">
        <v>23</v>
      </c>
      <c r="K33" s="20" t="s">
        <v>11</v>
      </c>
      <c r="L33" s="2" t="s">
        <v>220</v>
      </c>
      <c r="M33" s="4">
        <v>1</v>
      </c>
      <c r="N33" s="4" t="s">
        <v>221</v>
      </c>
      <c r="O33" s="21" t="str">
        <f>HYPERLINK("obsidian://open?vault=o2&amp;file=Loved%20ones%20I%20pray%20for.md","Loved ones I pray for")</f>
        <v>Loved ones I pray for</v>
      </c>
      <c r="P33" s="11" t="s">
        <v>175</v>
      </c>
      <c r="AR33" s="11">
        <f>SUBTOTAL(3,_xlfn.SINGLE(tbl_pros[RowId]))</f>
        <v>1</v>
      </c>
    </row>
    <row r="34" spans="10:44">
      <c r="J34" s="4">
        <v>24</v>
      </c>
      <c r="K34" s="20" t="s">
        <v>11</v>
      </c>
      <c r="L34" s="2" t="s">
        <v>222</v>
      </c>
      <c r="M34" s="4">
        <v>1</v>
      </c>
      <c r="N34" s="4" t="s">
        <v>223</v>
      </c>
      <c r="O34" s="21" t="str">
        <f>HYPERLINK("obsidian://open?vault=o2&amp;file=Re-installing%20CasaOS.md","Re-installing CasaOS")</f>
        <v>Re-installing CasaOS</v>
      </c>
      <c r="P34" s="11" t="s">
        <v>175</v>
      </c>
      <c r="AR34" s="11">
        <f>SUBTOTAL(3,_xlfn.SINGLE(tbl_pros[RowId]))</f>
        <v>1</v>
      </c>
    </row>
    <row r="35" spans="10:44">
      <c r="J35" s="4">
        <v>25</v>
      </c>
      <c r="K35" s="20" t="s">
        <v>11</v>
      </c>
      <c r="L35" s="2" t="s">
        <v>224</v>
      </c>
      <c r="M35" s="4">
        <v>1</v>
      </c>
      <c r="N35" s="4" t="s">
        <v>225</v>
      </c>
      <c r="O35" s="21" t="str">
        <f>HYPERLINK("obsidian://open?vault=o2&amp;file=Re-installing%20CasaOS.md","Re-installing CasaOS")</f>
        <v>Re-installing CasaOS</v>
      </c>
      <c r="P35" s="11" t="s">
        <v>175</v>
      </c>
      <c r="AR35" s="11">
        <f>SUBTOTAL(3,_xlfn.SINGLE(tbl_pros[RowId]))</f>
        <v>1</v>
      </c>
    </row>
    <row r="36" spans="10:44">
      <c r="J36" s="4">
        <v>26</v>
      </c>
      <c r="K36" s="20" t="s">
        <v>11</v>
      </c>
      <c r="L36" s="2" t="s">
        <v>226</v>
      </c>
      <c r="M36" s="4">
        <v>1</v>
      </c>
      <c r="N36" s="4" t="s">
        <v>227</v>
      </c>
      <c r="O36" s="21" t="str">
        <f>HYPERLINK("obsidian://open?vault=o2&amp;file=My%20Clean%2C%20Modern%20Desk%20Setup%20for%20Productivity%20%26%20Creativity.md","My Clean, Modern Desk Setup for Productivity &amp; Creativity")</f>
        <v>My Clean, Modern Desk Setup for Productivity &amp; Creativity</v>
      </c>
      <c r="P36" s="11" t="s">
        <v>175</v>
      </c>
      <c r="AR36" s="11">
        <f>SUBTOTAL(3,_xlfn.SINGLE(tbl_pros[RowId]))</f>
        <v>1</v>
      </c>
    </row>
    <row r="37" spans="10:44">
      <c r="J37" s="4">
        <v>27</v>
      </c>
      <c r="K37" s="20" t="s">
        <v>11</v>
      </c>
      <c r="L37" s="2" t="s">
        <v>228</v>
      </c>
      <c r="M37" s="4">
        <v>1</v>
      </c>
      <c r="N37" s="4" t="s">
        <v>229</v>
      </c>
      <c r="O37" s="21" t="str">
        <f>HYPERLINK("obsidian://open?vault=o2&amp;file=Setup%20Nginx%20Proxy%20Manager.md","Setup Nginx Proxy Manager")</f>
        <v>Setup Nginx Proxy Manager</v>
      </c>
      <c r="P37" s="11" t="s">
        <v>175</v>
      </c>
      <c r="AR37" s="11">
        <f>SUBTOTAL(3,_xlfn.SINGLE(tbl_pros[RowId]))</f>
        <v>1</v>
      </c>
    </row>
    <row r="38" spans="10:44">
      <c r="J38" s="4">
        <v>28</v>
      </c>
      <c r="K38" s="20" t="s">
        <v>11</v>
      </c>
      <c r="L38" s="2" t="s">
        <v>230</v>
      </c>
      <c r="M38" s="4">
        <v>1</v>
      </c>
      <c r="N38" s="4" t="s">
        <v>231</v>
      </c>
      <c r="O38" s="21" t="str">
        <f>HYPERLINK("obsidian://open?vault=o2&amp;file=%F0%9F%97%BA%EF%B8%8F%20Personal%20Knowledge%20Management%20MOC.md","🗺️ Personal Knowledge Management MOC")</f>
        <v>🗺️ Personal Knowledge Management MOC</v>
      </c>
      <c r="P38" s="11" t="s">
        <v>175</v>
      </c>
      <c r="AR38" s="11">
        <f>SUBTOTAL(3,_xlfn.SINGLE(tbl_pros[RowId]))</f>
        <v>1</v>
      </c>
    </row>
    <row r="39" spans="10:44">
      <c r="J39" s="4">
        <v>29</v>
      </c>
      <c r="K39" s="20" t="s">
        <v>11</v>
      </c>
      <c r="L39" s="2" t="s">
        <v>232</v>
      </c>
      <c r="M39" s="4">
        <v>1</v>
      </c>
      <c r="N39" s="4" t="s">
        <v>233</v>
      </c>
      <c r="O39" s="21" t="str">
        <f>HYPERLINK("obsidian://open?vault=o2&amp;file=Manage%20Users.md","Manage Users")</f>
        <v>Manage Users</v>
      </c>
      <c r="P39" s="11" t="s">
        <v>175</v>
      </c>
      <c r="AR39" s="11">
        <f>SUBTOTAL(3,_xlfn.SINGLE(tbl_pros[RowId]))</f>
        <v>1</v>
      </c>
    </row>
    <row r="40" spans="10:44">
      <c r="J40" s="4">
        <v>30</v>
      </c>
      <c r="K40" s="20" t="s">
        <v>11</v>
      </c>
      <c r="L40" s="2" t="s">
        <v>234</v>
      </c>
      <c r="M40" s="4">
        <v>2</v>
      </c>
      <c r="N40" s="4" t="s">
        <v>235</v>
      </c>
      <c r="O40" s="21" t="str">
        <f>HYPERLINK("obsidian://open?vault=o2&amp;file=Twelve%20Steps%20Work%20-%20Step%201.md","Twelve Steps Work - Step 1")</f>
        <v>Twelve Steps Work - Step 1</v>
      </c>
      <c r="P40" s="11" t="s">
        <v>175</v>
      </c>
      <c r="Q40" s="21" t="str">
        <f>HYPERLINK("obsidian://open?vault=o2&amp;file=Twelve%20Steps%20Work%20-%20Step%202.md","Twelve Steps Work - Step 2")</f>
        <v>Twelve Steps Work - Step 2</v>
      </c>
      <c r="R40" s="11" t="s">
        <v>175</v>
      </c>
      <c r="AR40" s="11">
        <f>SUBTOTAL(3,_xlfn.SINGLE(tbl_pros[RowId]))</f>
        <v>1</v>
      </c>
    </row>
    <row r="41" spans="10:44">
      <c r="J41" s="4">
        <v>31</v>
      </c>
      <c r="K41" s="20" t="s">
        <v>11</v>
      </c>
      <c r="L41" s="2" t="s">
        <v>236</v>
      </c>
      <c r="M41" s="4">
        <v>2</v>
      </c>
      <c r="N41" s="4" t="s">
        <v>237</v>
      </c>
      <c r="O41" s="21" t="str">
        <f>HYPERLINK("obsidian://open?vault=o2&amp;file=Twelve%20Steps%20Work%20-%20Step%201.md","Twelve Steps Work - Step 1")</f>
        <v>Twelve Steps Work - Step 1</v>
      </c>
      <c r="P41" s="11" t="s">
        <v>175</v>
      </c>
      <c r="Q41" s="21" t="str">
        <f>HYPERLINK("obsidian://open?vault=o2&amp;file=Twelve%20Steps%20Work%20-%20Step%202.md","Twelve Steps Work - Step 2")</f>
        <v>Twelve Steps Work - Step 2</v>
      </c>
      <c r="R41" s="11" t="s">
        <v>175</v>
      </c>
      <c r="AR41" s="11">
        <f>SUBTOTAL(3,_xlfn.SINGLE(tbl_pros[RowId]))</f>
        <v>1</v>
      </c>
    </row>
    <row r="42" spans="10:44">
      <c r="J42" s="4">
        <v>32</v>
      </c>
      <c r="K42" s="20" t="s">
        <v>11</v>
      </c>
      <c r="L42" s="2" t="s">
        <v>238</v>
      </c>
      <c r="M42" s="4">
        <v>1</v>
      </c>
      <c r="N42" s="4" t="s">
        <v>239</v>
      </c>
      <c r="O42" s="21" t="str">
        <f>HYPERLINK("obsidian://open?vault=o2&amp;file=The%20Perfect%20Diane%20Sauce%20-%20Chicken%20Diane%20%20Chef%20Jean-Pierre.md","The Perfect Diane Sauce - Chicken Diane  Chef Jean-Pierre")</f>
        <v>The Perfect Diane Sauce - Chicken Diane  Chef Jean-Pierre</v>
      </c>
      <c r="P42" s="11" t="s">
        <v>175</v>
      </c>
      <c r="AR42" s="11">
        <f>SUBTOTAL(3,_xlfn.SINGLE(tbl_pros[RowId]))</f>
        <v>1</v>
      </c>
    </row>
    <row r="43" spans="10:44">
      <c r="J43" s="4">
        <v>33</v>
      </c>
      <c r="K43" s="20" t="s">
        <v>11</v>
      </c>
      <c r="L43" s="2" t="s">
        <v>240</v>
      </c>
      <c r="M43" s="4">
        <v>1</v>
      </c>
      <c r="N43" s="4" t="s">
        <v>241</v>
      </c>
      <c r="O43" s="21" t="str">
        <f>HYPERLINK("obsidian://open?vault=o2&amp;file=The%20Ultimate%20Cable%20Management%20Tier%20List.md","The Ultimate Cable Management Tier List")</f>
        <v>The Ultimate Cable Management Tier List</v>
      </c>
      <c r="P43" s="11" t="s">
        <v>175</v>
      </c>
      <c r="AR43" s="11">
        <f>SUBTOTAL(3,_xlfn.SINGLE(tbl_pros[RowId]))</f>
        <v>1</v>
      </c>
    </row>
    <row r="44" spans="10:44">
      <c r="J44" s="4">
        <v>34</v>
      </c>
      <c r="K44" s="20" t="s">
        <v>11</v>
      </c>
      <c r="L44" s="2" t="s">
        <v>242</v>
      </c>
      <c r="M44" s="4">
        <v>1</v>
      </c>
      <c r="N44" s="4" t="s">
        <v>243</v>
      </c>
      <c r="O44" s="21" t="str">
        <f>HYPERLINK("obsidian://open?vault=o2&amp;file=Time%20to%20UNSUBSCRIBE%20from%20Disney%2B%2C%20Netflix%2C%20etc%21.md","Time to UNSUBSCRIBE from Disney+, Netflix, etc!")</f>
        <v>Time to UNSUBSCRIBE from Disney+, Netflix, etc!</v>
      </c>
      <c r="P44" s="11" t="s">
        <v>175</v>
      </c>
      <c r="AR44" s="11">
        <f>SUBTOTAL(3,_xlfn.SINGLE(tbl_pros[RowId]))</f>
        <v>1</v>
      </c>
    </row>
    <row r="45" spans="10:44">
      <c r="J45" s="4">
        <v>35</v>
      </c>
      <c r="K45" s="20" t="s">
        <v>11</v>
      </c>
      <c r="L45" s="2" t="s">
        <v>244</v>
      </c>
      <c r="M45" s="4">
        <v>1</v>
      </c>
      <c r="N45" s="4" t="s">
        <v>245</v>
      </c>
      <c r="O45" s="21" t="str">
        <f>HYPERLINK("obsidian://open?vault=o2&amp;file=Twelve%20Principles%20of%20AA.md","Twelve Principles of AA")</f>
        <v>Twelve Principles of AA</v>
      </c>
      <c r="P45" s="11" t="s">
        <v>175</v>
      </c>
      <c r="AR45" s="11">
        <f>SUBTOTAL(3,_xlfn.SINGLE(tbl_pros[RowId]))</f>
        <v>1</v>
      </c>
    </row>
    <row r="46" spans="10:44">
      <c r="J46" s="4">
        <v>36</v>
      </c>
      <c r="K46" s="20" t="s">
        <v>11</v>
      </c>
      <c r="L46" s="2" t="s">
        <v>246</v>
      </c>
      <c r="M46" s="4">
        <v>1</v>
      </c>
      <c r="N46" s="4" t="s">
        <v>247</v>
      </c>
      <c r="O46" s="21" t="str">
        <f>HYPERLINK("obsidian://open?vault=o2&amp;file=Twelve%20Steps%20of%20AA.md","Twelve Steps of AA")</f>
        <v>Twelve Steps of AA</v>
      </c>
      <c r="P46" s="11" t="s">
        <v>175</v>
      </c>
      <c r="AR46" s="11">
        <f>SUBTOTAL(3,_xlfn.SINGLE(tbl_pros[RowId]))</f>
        <v>1</v>
      </c>
    </row>
    <row r="47" spans="10:44">
      <c r="J47" s="4">
        <v>37</v>
      </c>
      <c r="K47" s="20" t="s">
        <v>11</v>
      </c>
      <c r="L47" s="2" t="s">
        <v>248</v>
      </c>
      <c r="M47" s="4">
        <v>1</v>
      </c>
      <c r="N47" s="4" t="s">
        <v>249</v>
      </c>
      <c r="O47" s="21" t="str">
        <f>HYPERLINK("obsidian://open?vault=o2&amp;file=Twelve%20Principles%20of%20AA.md","Twelve Principles of AA")</f>
        <v>Twelve Principles of AA</v>
      </c>
      <c r="P47" s="11" t="s">
        <v>175</v>
      </c>
      <c r="AR47" s="11">
        <f>SUBTOTAL(3,_xlfn.SINGLE(tbl_pros[RowId]))</f>
        <v>1</v>
      </c>
    </row>
    <row r="48" spans="10:44">
      <c r="J48" s="4">
        <v>38</v>
      </c>
      <c r="K48" s="20" t="s">
        <v>11</v>
      </c>
      <c r="L48" s="2" t="s">
        <v>250</v>
      </c>
      <c r="M48" s="4">
        <v>1</v>
      </c>
      <c r="N48" s="4" t="s">
        <v>251</v>
      </c>
      <c r="O48"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P48" s="11" t="s">
        <v>175</v>
      </c>
      <c r="AR48" s="11">
        <f>SUBTOTAL(3,_xlfn.SINGLE(tbl_pros[RowId]))</f>
        <v>1</v>
      </c>
    </row>
    <row r="49" spans="10:44">
      <c r="J49" s="4">
        <v>39</v>
      </c>
      <c r="K49" s="20" t="s">
        <v>11</v>
      </c>
      <c r="L49" s="2" t="s">
        <v>252</v>
      </c>
      <c r="M49" s="4">
        <v>1</v>
      </c>
      <c r="N49" s="4" t="s">
        <v>253</v>
      </c>
      <c r="O49" s="21" t="str">
        <f>HYPERLINK("obsidian://open?vault=o2&amp;file=Windows%2010%20and%2011%20Wont%20Boot%2C%20How%20To%20Fix%20UEFI%20Partition.md","Windows 10 and 11 Wont Boot, How To Fix UEFI Partition")</f>
        <v>Windows 10 and 11 Wont Boot, How To Fix UEFI Partition</v>
      </c>
      <c r="P49" s="11" t="s">
        <v>175</v>
      </c>
      <c r="AR49" s="11">
        <f>SUBTOTAL(3,_xlfn.SINGLE(tbl_pros[RowId]))</f>
        <v>1</v>
      </c>
    </row>
    <row r="50" spans="10:44">
      <c r="J50" s="4">
        <v>40</v>
      </c>
      <c r="K50" s="20" t="s">
        <v>11</v>
      </c>
      <c r="L50" s="2" t="s">
        <v>254</v>
      </c>
      <c r="M50" s="4">
        <v>1</v>
      </c>
      <c r="N50" s="4" t="s">
        <v>255</v>
      </c>
      <c r="O50" s="21" t="str">
        <f>HYPERLINK("obsidian://open?vault=o2&amp;file=I%20Made%20an%20App%20that%20KEEPS%20Windows%2011%20Debloated%20%26%20Optimized.md","I Made an App that KEEPS Windows 11 Debloated &amp; Optimized")</f>
        <v>I Made an App that KEEPS Windows 11 Debloated &amp; Optimized</v>
      </c>
      <c r="P50" s="11" t="s">
        <v>175</v>
      </c>
      <c r="AR50" s="11">
        <f>SUBTOTAL(3,_xlfn.SINGLE(tbl_pros[RowId]))</f>
        <v>1</v>
      </c>
    </row>
    <row r="51" spans="10:44">
      <c r="J51" s="4">
        <v>41</v>
      </c>
      <c r="K51" s="20" t="s">
        <v>11</v>
      </c>
      <c r="L51" s="2" t="s">
        <v>256</v>
      </c>
      <c r="M51" s="4">
        <v>1</v>
      </c>
      <c r="N51" s="4" t="s">
        <v>257</v>
      </c>
      <c r="O51" s="21" t="str">
        <f>HYPERLINK("obsidian://open?vault=o2&amp;file=Sample%20YAML.md","Sample YAML")</f>
        <v>Sample YAML</v>
      </c>
      <c r="P51" s="11" t="s">
        <v>175</v>
      </c>
      <c r="AR51" s="11">
        <f>SUBTOTAL(3,_xlfn.SINGLE(tbl_pros[RowId]))</f>
        <v>1</v>
      </c>
    </row>
    <row r="52" spans="10:44">
      <c r="J52" s="4">
        <v>42</v>
      </c>
      <c r="K52" s="20" t="s">
        <v>11</v>
      </c>
      <c r="L52" s="2" t="s">
        <v>258</v>
      </c>
      <c r="M52" s="4">
        <v>1</v>
      </c>
      <c r="N52" s="4" t="s">
        <v>259</v>
      </c>
      <c r="O52"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P52" s="11" t="s">
        <v>175</v>
      </c>
      <c r="AR52" s="11">
        <f>SUBTOTAL(3,_xlfn.SINGLE(tbl_pros[RowId]))</f>
        <v>1</v>
      </c>
    </row>
    <row r="53" spans="10:44">
      <c r="J53" s="4">
        <v>43</v>
      </c>
      <c r="K53" s="20" t="s">
        <v>12</v>
      </c>
      <c r="L53" s="2" t="s">
        <v>260</v>
      </c>
      <c r="M53" s="4">
        <v>1</v>
      </c>
      <c r="N53" s="4" t="s">
        <v>261</v>
      </c>
      <c r="O53" s="21" t="str">
        <f>HYPERLINK("obsidian://open?vault=o2&amp;file=%E2%9A%A1%20Recovery%20Project.md","⚡ Recovery Project")</f>
        <v>⚡ Recovery Project</v>
      </c>
      <c r="P53" s="11" t="s">
        <v>175</v>
      </c>
      <c r="AR53" s="11">
        <f>SUBTOTAL(3,_xlfn.SINGLE(tbl_pros[RowId]))</f>
        <v>1</v>
      </c>
    </row>
    <row r="54" spans="10:44">
      <c r="J54" s="4">
        <v>44</v>
      </c>
      <c r="K54" s="20" t="s">
        <v>12</v>
      </c>
      <c r="L54" s="2" t="s">
        <v>262</v>
      </c>
      <c r="M54" s="4">
        <v>1</v>
      </c>
      <c r="N54" s="4" t="s">
        <v>263</v>
      </c>
      <c r="O54" s="21" t="str">
        <f>HYPERLINK("obsidian://open?vault=o2&amp;file=My%20PARA.md","My PARA")</f>
        <v>My PARA</v>
      </c>
      <c r="P54" s="11" t="s">
        <v>175</v>
      </c>
      <c r="AR54" s="11">
        <f>SUBTOTAL(3,_xlfn.SINGLE(tbl_pros[RowId]))</f>
        <v>1</v>
      </c>
    </row>
    <row r="55" spans="10:44">
      <c r="J55" s="4">
        <v>45</v>
      </c>
      <c r="K55" s="20" t="s">
        <v>12</v>
      </c>
      <c r="L55" s="2" t="s">
        <v>264</v>
      </c>
      <c r="M55" s="4">
        <v>8</v>
      </c>
      <c r="N55" s="4" t="s">
        <v>265</v>
      </c>
      <c r="O55" s="21" t="str">
        <f>HYPERLINK("obsidian://open?vault=o2&amp;file=Setup%20Certificate.md","Setup Certificate")</f>
        <v>Setup Certificate</v>
      </c>
      <c r="P55" s="11" t="s">
        <v>175</v>
      </c>
      <c r="Q55" s="21" t="str">
        <f>HYPERLINK("obsidian://open?vault=o2&amp;file=%F0%9F%92%A1%20Rebirth%20CWS.md","💡 Rebirth CWS")</f>
        <v>💡 Rebirth CWS</v>
      </c>
      <c r="R55" s="11" t="s">
        <v>175</v>
      </c>
      <c r="S55" s="21" t="str">
        <f>HYPERLINK("obsidian://open?vault=o2&amp;file=%E2%9A%A1%20Rebuild%20PC%20Project.md","⚡ Rebuild PC Project")</f>
        <v>⚡ Rebuild PC Project</v>
      </c>
      <c r="T55" s="11" t="s">
        <v>175</v>
      </c>
      <c r="U55" s="21" t="str">
        <f>HYPERLINK("obsidian://open?vault=o2&amp;file=cPanel%20Alternatives.md","cPanel Alternatives")</f>
        <v>cPanel Alternatives</v>
      </c>
      <c r="V55" s="11" t="s">
        <v>175</v>
      </c>
      <c r="W55" s="21" t="str">
        <f>HYPERLINK("obsidian://open?vault=o2&amp;file=%E2%9A%A1%20Setup%20Linode%20Server%20Project.md","⚡ Setup Linode Server Project")</f>
        <v>⚡ Setup Linode Server Project</v>
      </c>
      <c r="X55" s="11" t="s">
        <v>175</v>
      </c>
      <c r="Y55" s="21" t="str">
        <f>HYPERLINK("obsidian://open?vault=o2&amp;file=%E2%9A%93%20CWS.md","⚓ CWS")</f>
        <v>⚓ CWS</v>
      </c>
      <c r="Z55" s="11" t="s">
        <v>175</v>
      </c>
      <c r="AA55" s="21" t="str">
        <f>HYPERLINK("obsidian://open?vault=o2&amp;file=Firefox%20Privacy%20Settings.md","Firefox Privacy Settings")</f>
        <v>Firefox Privacy Settings</v>
      </c>
      <c r="AB55" s="11" t="s">
        <v>175</v>
      </c>
      <c r="AC55" s="21" t="str">
        <f>HYPERLINK("obsidian://open?vault=o2&amp;file=Firefox%20Privacy%20Settings.md","Firefox Privacy Settings")</f>
        <v>Firefox Privacy Settings</v>
      </c>
      <c r="AD55" s="11" t="s">
        <v>175</v>
      </c>
      <c r="AR55" s="11">
        <f>SUBTOTAL(3,_xlfn.SINGLE(tbl_pros[RowId]))</f>
        <v>1</v>
      </c>
    </row>
    <row r="56" spans="10:44">
      <c r="J56" s="4">
        <v>46</v>
      </c>
      <c r="K56" s="20" t="s">
        <v>12</v>
      </c>
      <c r="L56" s="2" t="s">
        <v>266</v>
      </c>
      <c r="M56" s="4">
        <v>1</v>
      </c>
      <c r="N56" s="4" t="s">
        <v>267</v>
      </c>
      <c r="O56" s="21" t="str">
        <f>HYPERLINK("obsidian://open?vault=o2&amp;file=%E2%9A%93%20Family.md","⚓ Family")</f>
        <v>⚓ Family</v>
      </c>
      <c r="P56" s="11" t="s">
        <v>175</v>
      </c>
      <c r="AR56" s="11">
        <f>SUBTOTAL(3,_xlfn.SINGLE(tbl_pros[RowId]))</f>
        <v>1</v>
      </c>
    </row>
    <row r="57" spans="10:44">
      <c r="J57" s="4">
        <v>47</v>
      </c>
      <c r="K57" s="20" t="s">
        <v>12</v>
      </c>
      <c r="L57" s="2" t="s">
        <v>268</v>
      </c>
      <c r="M57" s="4">
        <v>6</v>
      </c>
      <c r="N57" s="4" t="s">
        <v>269</v>
      </c>
      <c r="O57" s="21" t="str">
        <f>HYPERLINK("obsidian://open?vault=o2&amp;file=Money%20Moves%20for%202023.md","Money Moves for 2023")</f>
        <v>Money Moves for 2023</v>
      </c>
      <c r="P57" s="11" t="s">
        <v>175</v>
      </c>
      <c r="Q57" s="21" t="str">
        <f>HYPERLINK("obsidian://open?vault=o2&amp;file=Streaming%20Bundles.md","Streaming Bundles")</f>
        <v>Streaming Bundles</v>
      </c>
      <c r="R57" s="11" t="s">
        <v>175</v>
      </c>
      <c r="S57" s="21" t="str">
        <f>HYPERLINK("obsidian://open?vault=o2&amp;file=%E2%9A%A1%20Cheatsheets%20Library.md","⚡ Cheatsheets Library")</f>
        <v>⚡ Cheatsheets Library</v>
      </c>
      <c r="T57" s="11" t="s">
        <v>175</v>
      </c>
      <c r="U57" s="21" t="str">
        <f>HYPERLINK("obsidian://open?vault=o2&amp;file=%E2%9A%A1%20Money%20Management%20Project.md","⚡ Money Management Project")</f>
        <v>⚡ Money Management Project</v>
      </c>
      <c r="V57" s="11" t="s">
        <v>175</v>
      </c>
      <c r="W57" s="21" t="str">
        <f>HYPERLINK("obsidian://open?vault=o2&amp;file=%E2%9A%A1%20Print%20On%20Demand%20Project.md","⚡ Print On Demand Project")</f>
        <v>⚡ Print On Demand Project</v>
      </c>
      <c r="X57" s="11" t="s">
        <v>175</v>
      </c>
      <c r="Y57" s="21" t="str">
        <f>HYPERLINK("obsidian://open?vault=o2&amp;file=%E2%9A%93%20Finances.md","⚓ Finances")</f>
        <v>⚓ Finances</v>
      </c>
      <c r="Z57" s="11" t="s">
        <v>175</v>
      </c>
      <c r="AR57" s="11">
        <f>SUBTOTAL(3,_xlfn.SINGLE(tbl_pros[RowId]))</f>
        <v>1</v>
      </c>
    </row>
    <row r="58" spans="10:44">
      <c r="J58" s="4">
        <v>48</v>
      </c>
      <c r="K58" s="20" t="s">
        <v>12</v>
      </c>
      <c r="L58" s="2" t="s">
        <v>270</v>
      </c>
      <c r="M58" s="4">
        <v>3</v>
      </c>
      <c r="N58" s="4" t="s">
        <v>271</v>
      </c>
      <c r="O58" s="21" t="str">
        <f>HYPERLINK("obsidian://open?vault=o2&amp;file=%E2%9A%93%20AA%20Recovery.md","⚓ AA Recovery")</f>
        <v>⚓ AA Recovery</v>
      </c>
      <c r="P58" s="11" t="s">
        <v>175</v>
      </c>
      <c r="Q58" s="21" t="str">
        <f>HYPERLINK("obsidian://open?vault=o2&amp;file=%E2%9A%93%20Health.md","⚓ Health")</f>
        <v>⚓ Health</v>
      </c>
      <c r="R58" s="11" t="s">
        <v>175</v>
      </c>
      <c r="S58" s="21" t="str">
        <f>HYPERLINK("obsidian://open?vault=o2&amp;file=Relaxation%20Techniques.md","Relaxation Techniques")</f>
        <v>Relaxation Techniques</v>
      </c>
      <c r="T58" s="11" t="s">
        <v>175</v>
      </c>
      <c r="AR58" s="11">
        <f>SUBTOTAL(3,_xlfn.SINGLE(tbl_pros[RowId]))</f>
        <v>1</v>
      </c>
    </row>
    <row r="59" spans="10:44">
      <c r="J59" s="4">
        <v>49</v>
      </c>
      <c r="K59" s="20" t="s">
        <v>12</v>
      </c>
      <c r="L59" s="2" t="s">
        <v>272</v>
      </c>
      <c r="M59" s="4">
        <v>5</v>
      </c>
      <c r="N59" s="4" t="s">
        <v>273</v>
      </c>
      <c r="O59" s="21" t="str">
        <f>HYPERLINK("obsidian://open?vault=o2&amp;file=Setup%20Servarr.md","Setup Servarr")</f>
        <v>Setup Servarr</v>
      </c>
      <c r="P59" s="11" t="s">
        <v>175</v>
      </c>
      <c r="Q59" s="21" t="str">
        <f>HYPERLINK("obsidian://open?vault=o2&amp;file=%F0%9F%93%8C%20Rebuild%20PC%20Kanban.md","📌 Rebuild PC Kanban")</f>
        <v>📌 Rebuild PC Kanban</v>
      </c>
      <c r="R59" s="11" t="s">
        <v>175</v>
      </c>
      <c r="S59" s="21" t="str">
        <f>HYPERLINK("obsidian://open?vault=o2&amp;file=Setup%20Sabnzbd.md","Setup Sabnzbd")</f>
        <v>Setup Sabnzbd</v>
      </c>
      <c r="T59" s="11" t="s">
        <v>175</v>
      </c>
      <c r="U59" s="21" t="str">
        <f>HYPERLINK("obsidian://open?vault=o2&amp;file=Setup%20Streamdeck%20Plus.md","Setup Streamdeck Plus")</f>
        <v>Setup Streamdeck Plus</v>
      </c>
      <c r="V59" s="11" t="s">
        <v>175</v>
      </c>
      <c r="W59" s="21" t="str">
        <f>HYPERLINK("obsidian://open?vault=o2&amp;file=PC%20Re-Build%20Step%20Sequence%20Script.md","PC Re-Build Step Sequence Script")</f>
        <v>PC Re-Build Step Sequence Script</v>
      </c>
      <c r="X59" s="11" t="s">
        <v>175</v>
      </c>
      <c r="AR59" s="11">
        <f>SUBTOTAL(3,_xlfn.SINGLE(tbl_pros[RowId]))</f>
        <v>1</v>
      </c>
    </row>
    <row r="60" spans="10:44">
      <c r="J60" s="4">
        <v>50</v>
      </c>
      <c r="K60" s="20" t="s">
        <v>12</v>
      </c>
      <c r="L60" s="2" t="s">
        <v>274</v>
      </c>
      <c r="M60" s="4">
        <v>1</v>
      </c>
      <c r="N60" s="4" t="s">
        <v>275</v>
      </c>
      <c r="O60" s="21" t="str">
        <f>HYPERLINK("obsidian://open?vault=o2&amp;file=%F0%9F%93%8C%20Learn%20Obsidian%20MD.md","📌 Learn Obsidian MD")</f>
        <v>📌 Learn Obsidian MD</v>
      </c>
      <c r="P60" s="11" t="s">
        <v>175</v>
      </c>
      <c r="AR60" s="11">
        <f>SUBTOTAL(3,_xlfn.SINGLE(tbl_pros[RowId]))</f>
        <v>1</v>
      </c>
    </row>
    <row r="61" spans="10:44">
      <c r="J61" s="4">
        <v>51</v>
      </c>
      <c r="K61" s="20" t="s">
        <v>13</v>
      </c>
      <c r="L61" s="2" t="s">
        <v>276</v>
      </c>
      <c r="M61" s="4">
        <v>1</v>
      </c>
      <c r="N61" s="4" t="s">
        <v>277</v>
      </c>
      <c r="O61" s="21" t="str">
        <f>HYPERLINK("obsidian://open?vault=o2&amp;file=How%20to%20Create%20So%20Much%20They%20Can%E2%80%99t%20Ignore%20You.md","How to Create So Much They Can’t Ignore You")</f>
        <v>How to Create So Much They Can’t Ignore You</v>
      </c>
      <c r="P61" s="11" t="s">
        <v>175</v>
      </c>
      <c r="AR61" s="11">
        <f>SUBTOTAL(3,_xlfn.SINGLE(tbl_pros[RowId]))</f>
        <v>1</v>
      </c>
    </row>
    <row r="62" spans="10:44">
      <c r="J62" s="4">
        <v>52</v>
      </c>
      <c r="K62" s="20" t="s">
        <v>13</v>
      </c>
      <c r="L62" s="2" t="s">
        <v>278</v>
      </c>
      <c r="M62" s="4">
        <v>1</v>
      </c>
      <c r="N62" s="4" t="s">
        <v>279</v>
      </c>
      <c r="O62" s="21" t="str">
        <f>HYPERLINK("obsidian://open?vault=o2&amp;file=How%20to%20text%20from%20your%20PC%20if%20you%20have%20an%20iPhone.md","How to text from your PC if you have an iPhone")</f>
        <v>How to text from your PC if you have an iPhone</v>
      </c>
      <c r="P62" s="11" t="s">
        <v>175</v>
      </c>
      <c r="AR62" s="11">
        <f>SUBTOTAL(3,_xlfn.SINGLE(tbl_pros[RowId]))</f>
        <v>1</v>
      </c>
    </row>
    <row r="63" spans="10:44">
      <c r="J63" s="4">
        <v>53</v>
      </c>
      <c r="K63" s="20" t="s">
        <v>13</v>
      </c>
      <c r="L63" s="2" t="s">
        <v>280</v>
      </c>
      <c r="M63" s="4">
        <v>1</v>
      </c>
      <c r="N63" s="4" t="s">
        <v>281</v>
      </c>
      <c r="O63" s="21" t="str">
        <f>HYPERLINK("obsidian://open?vault=o2&amp;file=The%20Ultimate%20Cable%20Management%20Tier%20List.md","The Ultimate Cable Management Tier List")</f>
        <v>The Ultimate Cable Management Tier List</v>
      </c>
      <c r="P63" s="11" t="s">
        <v>175</v>
      </c>
      <c r="AR63" s="11">
        <f>SUBTOTAL(3,_xlfn.SINGLE(tbl_pros[RowId]))</f>
        <v>1</v>
      </c>
    </row>
    <row r="64" spans="10:44">
      <c r="J64" s="4">
        <v>54</v>
      </c>
      <c r="K64" s="20" t="s">
        <v>13</v>
      </c>
      <c r="L64" s="2" t="s">
        <v>282</v>
      </c>
      <c r="M64" s="4">
        <v>1</v>
      </c>
      <c r="N64" s="4" t="s">
        <v>283</v>
      </c>
      <c r="O64" s="21" t="str">
        <f>HYPERLINK("obsidian://open?vault=o2&amp;file=Search%20and%20Replace%20in%20Vim.md","Search and Replace in Vim")</f>
        <v>Search and Replace in Vim</v>
      </c>
      <c r="P64" s="11" t="s">
        <v>175</v>
      </c>
      <c r="AR64" s="11">
        <f>SUBTOTAL(3,_xlfn.SINGLE(tbl_pros[RowId]))</f>
        <v>1</v>
      </c>
    </row>
    <row r="65" spans="10:44">
      <c r="J65" s="4">
        <v>55</v>
      </c>
      <c r="K65" s="20" t="s">
        <v>13</v>
      </c>
      <c r="L65" s="2" t="s">
        <v>284</v>
      </c>
      <c r="M65" s="4">
        <v>1</v>
      </c>
      <c r="N65" s="4" t="s">
        <v>285</v>
      </c>
      <c r="O65" s="21" t="str">
        <f>HYPERLINK("obsidian://open?vault=o2&amp;file=Free%20Lightroom%20Tutorial%20%20Adobe%20Lightroom%20Essentials%20Training%20Course.md","Free Lightroom Tutorial  Adobe Lightroom Essentials Training Course")</f>
        <v>Free Lightroom Tutorial  Adobe Lightroom Essentials Training Course</v>
      </c>
      <c r="P65" s="11" t="s">
        <v>175</v>
      </c>
      <c r="AR65" s="11">
        <f>SUBTOTAL(3,_xlfn.SINGLE(tbl_pros[RowId]))</f>
        <v>1</v>
      </c>
    </row>
    <row r="66" spans="10:44">
      <c r="J66" s="4">
        <v>56</v>
      </c>
      <c r="K66" s="20" t="s">
        <v>13</v>
      </c>
      <c r="L66" s="2" t="s">
        <v>286</v>
      </c>
      <c r="M66" s="4">
        <v>1</v>
      </c>
      <c r="N66" s="4" t="s">
        <v>287</v>
      </c>
      <c r="O66" s="21" t="str">
        <f>HYPERLINK("obsidian://open?vault=o2&amp;file=The%20Perfect%20Diane%20Sauce%20-%20Chicken%20Diane%20%20Chef%20Jean-Pierre.md","The Perfect Diane Sauce - Chicken Diane  Chef Jean-Pierre")</f>
        <v>The Perfect Diane Sauce - Chicken Diane  Chef Jean-Pierre</v>
      </c>
      <c r="P66" s="11" t="s">
        <v>175</v>
      </c>
      <c r="AR66" s="11">
        <f>SUBTOTAL(3,_xlfn.SINGLE(tbl_pros[RowId]))</f>
        <v>1</v>
      </c>
    </row>
    <row r="67" spans="10:44">
      <c r="J67" s="4">
        <v>57</v>
      </c>
      <c r="K67" s="20" t="s">
        <v>13</v>
      </c>
      <c r="L67" s="2" t="s">
        <v>288</v>
      </c>
      <c r="M67" s="4">
        <v>1</v>
      </c>
      <c r="N67" s="4" t="s">
        <v>289</v>
      </c>
      <c r="O67" s="21" t="str">
        <f>HYPERLINK("obsidian://open?vault=o2&amp;file=How%20To%20Hide%20Wires%20Behind%20Wall%20-%20NO%20DRYWALL%20REPAIR%20NEEDED%20Hiding%20Wires.md","How To Hide Wires Behind Wall - NO DRYWALL REPAIR NEEDED Hiding Wires")</f>
        <v>How To Hide Wires Behind Wall - NO DRYWALL REPAIR NEEDED Hiding Wires</v>
      </c>
      <c r="P67" s="11" t="s">
        <v>175</v>
      </c>
      <c r="AR67" s="11">
        <f>SUBTOTAL(3,_xlfn.SINGLE(tbl_pros[RowId]))</f>
        <v>1</v>
      </c>
    </row>
    <row r="68" spans="10:44">
      <c r="J68" s="4">
        <v>58</v>
      </c>
      <c r="K68" s="20" t="s">
        <v>13</v>
      </c>
      <c r="L68" s="2" t="s">
        <v>290</v>
      </c>
      <c r="M68" s="4">
        <v>1</v>
      </c>
      <c r="N68" s="4" t="s">
        <v>291</v>
      </c>
      <c r="O68" s="21" t="str">
        <f>HYPERLINK("obsidian://open?vault=o2&amp;file=Windows%2010%20and%2011%20Wont%20Boot%2C%20How%20To%20Fix%20UEFI%20Partition.md","Windows 10 and 11 Wont Boot, How To Fix UEFI Partition")</f>
        <v>Windows 10 and 11 Wont Boot, How To Fix UEFI Partition</v>
      </c>
      <c r="P68" s="11" t="s">
        <v>175</v>
      </c>
      <c r="AR68" s="11">
        <f>SUBTOTAL(3,_xlfn.SINGLE(tbl_pros[RowId]))</f>
        <v>1</v>
      </c>
    </row>
    <row r="69" spans="10:44">
      <c r="J69" s="4">
        <v>59</v>
      </c>
      <c r="K69" s="20" t="s">
        <v>13</v>
      </c>
      <c r="L69" s="2" t="s">
        <v>292</v>
      </c>
      <c r="M69" s="4">
        <v>1</v>
      </c>
      <c r="N69" s="4" t="s">
        <v>293</v>
      </c>
      <c r="O69"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P69" s="11" t="s">
        <v>175</v>
      </c>
      <c r="AR69" s="11">
        <f>SUBTOTAL(3,_xlfn.SINGLE(tbl_pros[RowId]))</f>
        <v>1</v>
      </c>
    </row>
    <row r="70" spans="10:44">
      <c r="J70" s="4">
        <v>60</v>
      </c>
      <c r="K70" s="20" t="s">
        <v>13</v>
      </c>
      <c r="L70" s="2" t="s">
        <v>294</v>
      </c>
      <c r="M70" s="4">
        <v>1</v>
      </c>
      <c r="N70" s="4" t="s">
        <v>295</v>
      </c>
      <c r="O70" s="21" t="str">
        <f>HYPERLINK("obsidian://open?vault=o2&amp;file=Architects%205%20Step%20Desk%20Setup%20Makeover.md","Architects 5 Step Desk Setup Makeover")</f>
        <v>Architects 5 Step Desk Setup Makeover</v>
      </c>
      <c r="P70" s="11" t="s">
        <v>175</v>
      </c>
      <c r="AR70" s="11">
        <f>SUBTOTAL(3,_xlfn.SINGLE(tbl_pros[RowId]))</f>
        <v>1</v>
      </c>
    </row>
    <row r="71" spans="10:44">
      <c r="J71" s="4">
        <v>61</v>
      </c>
      <c r="K71" s="20" t="s">
        <v>13</v>
      </c>
      <c r="L71" s="2" t="s">
        <v>296</v>
      </c>
      <c r="M71" s="4">
        <v>1</v>
      </c>
      <c r="N71" s="4" t="s">
        <v>297</v>
      </c>
      <c r="O71" s="21" t="str">
        <f>HYPERLINK("obsidian://open?vault=o2&amp;file=Flat%20Icon%20and%20Shadow%20Using%20The%20Blend%20Tool%20In%20Adobe%20Illustrator.md","Flat Icon and Shadow Using The Blend Tool In Adobe Illustrator")</f>
        <v>Flat Icon and Shadow Using The Blend Tool In Adobe Illustrator</v>
      </c>
      <c r="P71" s="11" t="s">
        <v>175</v>
      </c>
      <c r="AR71" s="11">
        <f>SUBTOTAL(3,_xlfn.SINGLE(tbl_pros[RowId]))</f>
        <v>1</v>
      </c>
    </row>
    <row r="72" spans="10:44">
      <c r="J72" s="4">
        <v>62</v>
      </c>
      <c r="K72" s="20" t="s">
        <v>13</v>
      </c>
      <c r="L72" s="2" t="s">
        <v>298</v>
      </c>
      <c r="M72" s="4">
        <v>1</v>
      </c>
      <c r="N72" s="4" t="s">
        <v>299</v>
      </c>
      <c r="O72"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P72" s="11" t="s">
        <v>175</v>
      </c>
      <c r="AR72" s="11">
        <f>SUBTOTAL(3,_xlfn.SINGLE(tbl_pros[RowId]))</f>
        <v>1</v>
      </c>
    </row>
    <row r="73" spans="10:44">
      <c r="J73" s="4">
        <v>63</v>
      </c>
      <c r="K73" s="20" t="s">
        <v>13</v>
      </c>
      <c r="L73" s="2" t="s">
        <v>300</v>
      </c>
      <c r="M73" s="4">
        <v>1</v>
      </c>
      <c r="N73" s="4" t="s">
        <v>301</v>
      </c>
      <c r="O73" s="21" t="str">
        <f>HYPERLINK("obsidian://open?vault=o2&amp;file=Setup%20a%20VPN%20on%20your%20network.md","Setup a VPN on your network")</f>
        <v>Setup a VPN on your network</v>
      </c>
      <c r="P73" s="11" t="s">
        <v>175</v>
      </c>
      <c r="AR73" s="11">
        <f>SUBTOTAL(3,_xlfn.SINGLE(tbl_pros[RowId]))</f>
        <v>1</v>
      </c>
    </row>
    <row r="74" spans="10:44">
      <c r="J74" s="4">
        <v>64</v>
      </c>
      <c r="K74" s="20" t="s">
        <v>13</v>
      </c>
      <c r="L74" s="2" t="s">
        <v>302</v>
      </c>
      <c r="M74" s="4">
        <v>1</v>
      </c>
      <c r="N74" s="4" t="s">
        <v>303</v>
      </c>
      <c r="O74" s="21" t="str">
        <f>HYPERLINK("obsidian://open?vault=o2&amp;file=20%20AMAZING%20Art%20Workspace%20Hacks%20%28FREE%20or%20cheap%21%29.md","20 AMAZING Art Workspace Hacks (FREE or cheap!)")</f>
        <v>20 AMAZING Art Workspace Hacks (FREE or cheap!)</v>
      </c>
      <c r="P74" s="11" t="s">
        <v>175</v>
      </c>
      <c r="AR74" s="11">
        <f>SUBTOTAL(3,_xlfn.SINGLE(tbl_pros[RowId]))</f>
        <v>1</v>
      </c>
    </row>
    <row r="75" spans="10:44">
      <c r="J75" s="4">
        <v>65</v>
      </c>
      <c r="K75" s="20" t="s">
        <v>13</v>
      </c>
      <c r="L75" s="2" t="s">
        <v>304</v>
      </c>
      <c r="M75" s="4">
        <v>1</v>
      </c>
      <c r="N75" s="4" t="s">
        <v>305</v>
      </c>
      <c r="O75" s="21" t="str">
        <f>HYPERLINK("obsidian://open?vault=o2&amp;file=How%20to%20Disable%20IPV6.md","How to Disable IPV6")</f>
        <v>How to Disable IPV6</v>
      </c>
      <c r="P75" s="11" t="s">
        <v>175</v>
      </c>
      <c r="AR75" s="11">
        <f>SUBTOTAL(3,_xlfn.SINGLE(tbl_pros[RowId]))</f>
        <v>1</v>
      </c>
    </row>
    <row r="76" spans="10:44">
      <c r="J76" s="4">
        <v>66</v>
      </c>
      <c r="K76" s="20" t="s">
        <v>13</v>
      </c>
      <c r="L76" s="2" t="s">
        <v>306</v>
      </c>
      <c r="M76" s="4">
        <v>1</v>
      </c>
      <c r="N76" s="4" t="s">
        <v>307</v>
      </c>
      <c r="O76" s="21" t="str">
        <f>HYPERLINK("obsidian://open?vault=o2&amp;file=Time%20to%20UNSUBSCRIBE%20from%20Disney%2B%2C%20Netflix%2C%20etc%21.md","Time to UNSUBSCRIBE from Disney+, Netflix, etc!")</f>
        <v>Time to UNSUBSCRIBE from Disney+, Netflix, etc!</v>
      </c>
      <c r="P76" s="11" t="s">
        <v>175</v>
      </c>
      <c r="AR76" s="11">
        <f>SUBTOTAL(3,_xlfn.SINGLE(tbl_pros[RowId]))</f>
        <v>1</v>
      </c>
    </row>
    <row r="77" spans="10:44">
      <c r="J77" s="4">
        <v>67</v>
      </c>
      <c r="K77" s="20" t="s">
        <v>13</v>
      </c>
      <c r="L77" s="2" t="s">
        <v>308</v>
      </c>
      <c r="M77" s="4">
        <v>1</v>
      </c>
      <c r="N77" s="4" t="s">
        <v>309</v>
      </c>
      <c r="O77" s="21" t="str">
        <f>HYPERLINK("obsidian://open?vault=o2&amp;file=How%20I%20Would%20Learn%20Obsidian%20MD%20%28If%20I%20could%20start%20over%29.md","How I Would Learn Obsidian MD (If I could start over)")</f>
        <v>How I Would Learn Obsidian MD (If I could start over)</v>
      </c>
      <c r="P77" s="11" t="s">
        <v>175</v>
      </c>
      <c r="AR77" s="11">
        <f>SUBTOTAL(3,_xlfn.SINGLE(tbl_pros[RowId]))</f>
        <v>1</v>
      </c>
    </row>
    <row r="78" spans="10:44">
      <c r="J78" s="4">
        <v>68</v>
      </c>
      <c r="K78" s="20" t="s">
        <v>13</v>
      </c>
      <c r="L78" s="2" t="s">
        <v>310</v>
      </c>
      <c r="M78" s="4">
        <v>1</v>
      </c>
      <c r="N78" s="4" t="s">
        <v>311</v>
      </c>
      <c r="O78" s="21" t="str">
        <f>HYPERLINK("obsidian://open?vault=o2&amp;file=13%20Crucial%20Questions%20to%20Ask%20a%20Realtor%20When%20Selling.md","13 Crucial Questions to Ask a Realtor When Selling")</f>
        <v>13 Crucial Questions to Ask a Realtor When Selling</v>
      </c>
      <c r="P78" s="11" t="s">
        <v>175</v>
      </c>
      <c r="AR78" s="11">
        <f>SUBTOTAL(3,_xlfn.SINGLE(tbl_pros[RowId]))</f>
        <v>1</v>
      </c>
    </row>
    <row r="79" spans="10:44">
      <c r="J79" s="4">
        <v>69</v>
      </c>
      <c r="K79" s="20" t="s">
        <v>13</v>
      </c>
      <c r="L79" s="2" t="s">
        <v>312</v>
      </c>
      <c r="M79" s="4">
        <v>1</v>
      </c>
      <c r="N79" s="4" t="s">
        <v>313</v>
      </c>
      <c r="O79" s="21" t="str">
        <f>HYPERLINK("obsidian://open?vault=o2&amp;file=The%20Best%20Ways%20to%20Kill%20Ants%20Using%20Borax%20-%20wikiHow.md","The Best Ways to Kill Ants Using Borax - wikiHow")</f>
        <v>The Best Ways to Kill Ants Using Borax - wikiHow</v>
      </c>
      <c r="P79" s="11" t="s">
        <v>175</v>
      </c>
      <c r="AR79" s="11">
        <f>SUBTOTAL(3,_xlfn.SINGLE(tbl_pros[RowId]))</f>
        <v>1</v>
      </c>
    </row>
    <row r="80" spans="10:44">
      <c r="J80" s="4">
        <v>70</v>
      </c>
      <c r="K80" s="20" t="s">
        <v>13</v>
      </c>
      <c r="L80" s="2" t="s">
        <v>314</v>
      </c>
      <c r="M80" s="4">
        <v>1</v>
      </c>
      <c r="N80" s="4" t="s">
        <v>315</v>
      </c>
      <c r="O80"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80" s="11" t="s">
        <v>175</v>
      </c>
      <c r="AR80" s="11">
        <f>SUBTOTAL(3,_xlfn.SINGLE(tbl_pros[RowId]))</f>
        <v>1</v>
      </c>
    </row>
    <row r="81" spans="10:44">
      <c r="J81" s="4">
        <v>71</v>
      </c>
      <c r="K81" s="20" t="s">
        <v>13</v>
      </c>
      <c r="L81" s="2" t="s">
        <v>316</v>
      </c>
      <c r="M81" s="4">
        <v>1</v>
      </c>
      <c r="N81" s="4" t="s">
        <v>317</v>
      </c>
      <c r="O81" s="21" t="str">
        <f>HYPERLINK("obsidian://open?vault=o2&amp;file=Set%20Up%20and%20Secure%20a%20Compute%20Instance.md","Set Up and Secure a Compute Instance")</f>
        <v>Set Up and Secure a Compute Instance</v>
      </c>
      <c r="P81" s="11" t="s">
        <v>175</v>
      </c>
      <c r="AR81" s="11">
        <f>SUBTOTAL(3,_xlfn.SINGLE(tbl_pros[RowId]))</f>
        <v>1</v>
      </c>
    </row>
    <row r="82" spans="10:44">
      <c r="J82" s="4">
        <v>72</v>
      </c>
      <c r="K82" s="20" t="s">
        <v>13</v>
      </c>
      <c r="L82" s="2" t="s">
        <v>318</v>
      </c>
      <c r="M82" s="4">
        <v>7</v>
      </c>
      <c r="N82" s="4" t="s">
        <v>319</v>
      </c>
      <c r="O82" s="21" t="str">
        <f>HYPERLINK("obsidian://open?vault=o2&amp;file=Hotkey%20ShortList%20by%20Assigned%20Hotkey.md","Hotkey ShortList by Assigned Hotkey")</f>
        <v>Hotkey ShortList by Assigned Hotkey</v>
      </c>
      <c r="P82" s="11" t="s">
        <v>175</v>
      </c>
      <c r="Q82" s="21" t="str">
        <f>HYPERLINK("obsidian://open?vault=o2&amp;file=Hotkey%20ShortList%20by%20Command%20Name.md","Hotkey ShortList by Command Name")</f>
        <v>Hotkey ShortList by Command Name</v>
      </c>
      <c r="R82" s="11" t="s">
        <v>175</v>
      </c>
      <c r="S82" s="21" t="str">
        <f>HYPERLINK("obsidian://open?vault=o2&amp;file=Hotkey%20ShortList%20by%20CommandID.md","Hotkey ShortList by CommandID")</f>
        <v>Hotkey ShortList by CommandID</v>
      </c>
      <c r="T82" s="11" t="s">
        <v>175</v>
      </c>
      <c r="U82" s="21" t="str">
        <f>HYPERLINK("obsidian://open?vault=o2&amp;file=Hotkeys%20by%20Assigned%20Hotkey.md","Hotkeys by Assigned Hotkey")</f>
        <v>Hotkeys by Assigned Hotkey</v>
      </c>
      <c r="V82" s="11" t="s">
        <v>175</v>
      </c>
      <c r="W82" s="21" t="str">
        <f>HYPERLINK("obsidian://open?vault=o2&amp;file=Hotkeys%20by%20Command%20Name.md","Hotkeys by Command Name")</f>
        <v>Hotkeys by Command Name</v>
      </c>
      <c r="X82" s="11" t="s">
        <v>175</v>
      </c>
      <c r="Y82" s="21" t="str">
        <f>HYPERLINK("obsidian://open?vault=o2&amp;file=Hotkeys%20by%20CommandID.md","Hotkeys by CommandID")</f>
        <v>Hotkeys by CommandID</v>
      </c>
      <c r="Z82" s="11" t="s">
        <v>175</v>
      </c>
      <c r="AA82" s="21" t="str">
        <f>HYPERLINK("obsidian://open?vault=o2&amp;file=Hotkeys%20Defined-Orig.md","Hotkeys Defined-Orig")</f>
        <v>Hotkeys Defined-Orig</v>
      </c>
      <c r="AB82" s="11" t="s">
        <v>175</v>
      </c>
      <c r="AR82" s="11">
        <f>SUBTOTAL(3,_xlfn.SINGLE(tbl_pros[RowId]))</f>
        <v>1</v>
      </c>
    </row>
    <row r="83" spans="10:44">
      <c r="J83" s="4">
        <v>73</v>
      </c>
      <c r="K83" s="20" t="s">
        <v>13</v>
      </c>
      <c r="L83" s="2" t="s">
        <v>320</v>
      </c>
      <c r="M83" s="4">
        <v>2</v>
      </c>
      <c r="N83" s="4" t="s">
        <v>321</v>
      </c>
      <c r="O83" s="21" t="str">
        <f>HYPERLINK("obsidian://open?vault=o2&amp;file=22%20FREE%20Windows%20Utilities%20EVERY%20User%20MUST%20Know%20About%21.md","22 FREE Windows Utilities EVERY User MUST Know About!")</f>
        <v>22 FREE Windows Utilities EVERY User MUST Know About!</v>
      </c>
      <c r="P83" s="11" t="s">
        <v>175</v>
      </c>
      <c r="Q83" s="21" t="str">
        <f>HYPERLINK("obsidian://open?vault=o2&amp;file=I%20Made%20an%20App%20that%20KEEPS%20Windows%2011%20Debloated%20%26%20Optimized.md","I Made an App that KEEPS Windows 11 Debloated &amp; Optimized")</f>
        <v>I Made an App that KEEPS Windows 11 Debloated &amp; Optimized</v>
      </c>
      <c r="R83" s="11" t="s">
        <v>175</v>
      </c>
      <c r="AR83" s="11">
        <f>SUBTOTAL(3,_xlfn.SINGLE(tbl_pros[RowId]))</f>
        <v>1</v>
      </c>
    </row>
    <row r="84" spans="10:44">
      <c r="J84" s="4">
        <v>74</v>
      </c>
      <c r="K84" s="20" t="s">
        <v>13</v>
      </c>
      <c r="L84" s="2" t="s">
        <v>322</v>
      </c>
      <c r="M84" s="4">
        <v>1</v>
      </c>
      <c r="N84" s="4" t="s">
        <v>323</v>
      </c>
      <c r="O84" s="21" t="str">
        <f>HYPERLINK("obsidian://open?vault=o2&amp;file=Install%20Nginx%20Proxy%20Manager%20on%20CasaOS.md","Install Nginx Proxy Manager on CasaOS")</f>
        <v>Install Nginx Proxy Manager on CasaOS</v>
      </c>
      <c r="P84" s="11" t="s">
        <v>175</v>
      </c>
      <c r="AR84" s="11">
        <f>SUBTOTAL(3,_xlfn.SINGLE(tbl_pros[RowId]))</f>
        <v>1</v>
      </c>
    </row>
    <row r="85" spans="10:44">
      <c r="J85" s="4">
        <v>75</v>
      </c>
      <c r="K85" s="20" t="s">
        <v>13</v>
      </c>
      <c r="L85" s="2" t="s">
        <v>324</v>
      </c>
      <c r="M85" s="4">
        <v>1</v>
      </c>
      <c r="N85" s="4" t="s">
        <v>325</v>
      </c>
      <c r="O85" s="21" t="str">
        <f>HYPERLINK("obsidian://open?vault=o2&amp;file=My%20Clean%2C%20Modern%20Desk%20Setup%20for%20Productivity%20%26%20Creativity.md","My Clean, Modern Desk Setup for Productivity &amp; Creativity")</f>
        <v>My Clean, Modern Desk Setup for Productivity &amp; Creativity</v>
      </c>
      <c r="P85" s="11" t="s">
        <v>175</v>
      </c>
      <c r="AR85" s="11">
        <f>SUBTOTAL(3,_xlfn.SINGLE(tbl_pros[RowId]))</f>
        <v>1</v>
      </c>
    </row>
    <row r="86" spans="10:44">
      <c r="J86" s="4">
        <v>76</v>
      </c>
      <c r="K86" s="20" t="s">
        <v>13</v>
      </c>
      <c r="L86" s="2" t="s">
        <v>326</v>
      </c>
      <c r="M86" s="4">
        <v>1</v>
      </c>
      <c r="N86" s="4" t="s">
        <v>327</v>
      </c>
      <c r="O86" s="21" t="str">
        <f>HYPERLINK("obsidian://open?vault=o2&amp;file=Relaxation%20Techniques.md","Relaxation Techniques")</f>
        <v>Relaxation Techniques</v>
      </c>
      <c r="P86" s="11" t="s">
        <v>175</v>
      </c>
      <c r="AR86" s="11">
        <f>SUBTOTAL(3,_xlfn.SINGLE(tbl_pros[RowId]))</f>
        <v>1</v>
      </c>
    </row>
    <row r="87" spans="10:44">
      <c r="J87" s="4">
        <v>77</v>
      </c>
      <c r="K87" s="20" t="s">
        <v>13</v>
      </c>
      <c r="L87" s="2" t="s">
        <v>328</v>
      </c>
      <c r="M87" s="4">
        <v>1</v>
      </c>
      <c r="N87" s="4" t="s">
        <v>329</v>
      </c>
      <c r="O87" s="21" t="str">
        <f>HYPERLINK("obsidian://open?vault=o2&amp;file=8%20Easy%20Food%20Plating%20Hacks%20That%20Will%20Blow%20You%20Away.md","8 Easy Food Plating Hacks That Will Blow You Away")</f>
        <v>8 Easy Food Plating Hacks That Will Blow You Away</v>
      </c>
      <c r="P87" s="11" t="s">
        <v>175</v>
      </c>
      <c r="AR87" s="11">
        <f>SUBTOTAL(3,_xlfn.SINGLE(tbl_pros[RowId]))</f>
        <v>1</v>
      </c>
    </row>
    <row r="88" spans="10:44">
      <c r="J88" s="4">
        <v>78</v>
      </c>
      <c r="K88" s="20" t="s">
        <v>13</v>
      </c>
      <c r="L88" s="2" t="s">
        <v>330</v>
      </c>
      <c r="M88" s="4">
        <v>1</v>
      </c>
      <c r="N88" s="4" t="s">
        <v>331</v>
      </c>
      <c r="O88" s="21" t="str">
        <f>HYPERLINK("obsidian://open?vault=o2&amp;file=obsidian-scraper.md","obsidian-scraper")</f>
        <v>obsidian-scraper</v>
      </c>
      <c r="P88" s="11" t="s">
        <v>175</v>
      </c>
      <c r="AR88" s="11">
        <f>SUBTOTAL(3,_xlfn.SINGLE(tbl_pros[RowId]))</f>
        <v>1</v>
      </c>
    </row>
    <row r="89" spans="10:44">
      <c r="J89" s="4">
        <v>79</v>
      </c>
      <c r="K89" s="20" t="s">
        <v>13</v>
      </c>
      <c r="L89" s="2" t="s">
        <v>332</v>
      </c>
      <c r="M89" s="4">
        <v>1</v>
      </c>
      <c r="N89" s="4" t="s">
        <v>333</v>
      </c>
      <c r="O89"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P89" s="11" t="s">
        <v>175</v>
      </c>
      <c r="AR89" s="11">
        <f>SUBTOTAL(3,_xlfn.SINGLE(tbl_pros[RowId]))</f>
        <v>1</v>
      </c>
    </row>
    <row r="90" spans="10:44">
      <c r="J90" s="4">
        <v>80</v>
      </c>
      <c r="K90" s="20" t="s">
        <v>13</v>
      </c>
      <c r="L90" s="2" t="s">
        <v>334</v>
      </c>
      <c r="M90" s="4">
        <v>2</v>
      </c>
      <c r="N90" s="4" t="s">
        <v>335</v>
      </c>
      <c r="O90" s="21" t="str">
        <f>HYPERLINK("obsidian://open?vault=o2&amp;file=Better%20Than%20Grandmas%20Dinner%21%20My%20Parents%20Were%20Stunned%20After%20Trying%20It%21%21%21.md","Better Than Grandmas Dinner! My Parents Were Stunned After Trying It!!!")</f>
        <v>Better Than Grandmas Dinner! My Parents Were Stunned After Trying It!!!</v>
      </c>
      <c r="P90" s="11" t="s">
        <v>175</v>
      </c>
      <c r="Q9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R90" s="11" t="s">
        <v>175</v>
      </c>
      <c r="AR90" s="11">
        <f>SUBTOTAL(3,_xlfn.SINGLE(tbl_pros[RowId]))</f>
        <v>1</v>
      </c>
    </row>
    <row r="91" spans="10:44">
      <c r="J91" s="4">
        <v>81</v>
      </c>
      <c r="K91" s="20" t="s">
        <v>13</v>
      </c>
      <c r="L91" s="2" t="s">
        <v>336</v>
      </c>
      <c r="M91" s="4">
        <v>1</v>
      </c>
      <c r="N91" s="4" t="s">
        <v>337</v>
      </c>
      <c r="O91" s="21" t="str">
        <f>HYPERLINK("obsidian://open?vault=o2&amp;file=Fix%20Sound%20on%20Movies.md","Fix Sound on Movies")</f>
        <v>Fix Sound on Movies</v>
      </c>
      <c r="P91" s="11" t="s">
        <v>175</v>
      </c>
      <c r="AR91" s="11">
        <f>SUBTOTAL(3,_xlfn.SINGLE(tbl_pros[RowId]))</f>
        <v>1</v>
      </c>
    </row>
    <row r="92" spans="10:44">
      <c r="J92" s="4">
        <v>82</v>
      </c>
      <c r="K92" s="20" t="s">
        <v>13</v>
      </c>
      <c r="L92" s="2" t="s">
        <v>338</v>
      </c>
      <c r="M92" s="4">
        <v>1</v>
      </c>
      <c r="N92" s="4" t="s">
        <v>339</v>
      </c>
      <c r="O92" s="21" t="str">
        <f>HYPERLINK("obsidian://open?vault=o2&amp;file=%F0%9F%93%A5%20Konik%20Method%20for%20Making%20Useful%20Notes.md","📥 Konik Method for Making Useful Notes")</f>
        <v>📥 Konik Method for Making Useful Notes</v>
      </c>
      <c r="P92" s="11" t="s">
        <v>175</v>
      </c>
      <c r="AR92" s="11">
        <f>SUBTOTAL(3,_xlfn.SINGLE(tbl_pros[RowId]))</f>
        <v>1</v>
      </c>
    </row>
    <row r="93" spans="10:44">
      <c r="J93" s="4">
        <v>83</v>
      </c>
      <c r="K93" s="20" t="s">
        <v>14</v>
      </c>
      <c r="L93" s="2" t="s">
        <v>340</v>
      </c>
      <c r="M93" s="4">
        <v>1</v>
      </c>
      <c r="N93" s="4" t="s">
        <v>341</v>
      </c>
      <c r="O93" s="21" t="str">
        <f>HYPERLINK("obsidian://open?vault=o2&amp;file=My%20PARA.md","My PARA")</f>
        <v>My PARA</v>
      </c>
      <c r="P93" s="11" t="s">
        <v>175</v>
      </c>
      <c r="AR93" s="11">
        <f>SUBTOTAL(3,_xlfn.SINGLE(tbl_pros[RowId]))</f>
        <v>1</v>
      </c>
    </row>
    <row r="94" spans="10:44">
      <c r="J94" s="4">
        <v>84</v>
      </c>
      <c r="K94" s="20" t="s">
        <v>14</v>
      </c>
      <c r="L94" s="2" t="s">
        <v>342</v>
      </c>
      <c r="M94" s="4">
        <v>1</v>
      </c>
      <c r="N94" s="4" t="s">
        <v>343</v>
      </c>
      <c r="O94" s="21" t="str">
        <f>HYPERLINK("obsidian://open?vault=o2&amp;file=2025-03-14.md","2025-03-14")</f>
        <v>2025-03-14</v>
      </c>
      <c r="P94" s="11" t="s">
        <v>175</v>
      </c>
      <c r="AR94" s="11">
        <f>SUBTOTAL(3,_xlfn.SINGLE(tbl_pros[RowId]))</f>
        <v>1</v>
      </c>
    </row>
    <row r="95" spans="10:44">
      <c r="J95" s="4">
        <v>85</v>
      </c>
      <c r="K95" s="20" t="s">
        <v>14</v>
      </c>
      <c r="L95" s="2" t="s">
        <v>344</v>
      </c>
      <c r="M95" s="4">
        <v>3</v>
      </c>
      <c r="N95" s="4" t="s">
        <v>345</v>
      </c>
      <c r="O95" s="21" t="str">
        <f>HYPERLINK("obsidian://open?vault=o2&amp;file=peepsTemplate.md","peepsTemplate")</f>
        <v>peepsTemplate</v>
      </c>
      <c r="P95" s="11" t="s">
        <v>175</v>
      </c>
      <c r="Q95" s="21" t="str">
        <f>HYPERLINK("obsidian://open?vault=o2&amp;file=peepsTemplatetest1.md","peepsTemplatetest1")</f>
        <v>peepsTemplatetest1</v>
      </c>
      <c r="R95" s="11" t="s">
        <v>175</v>
      </c>
      <c r="S95" s="21" t="str">
        <f>HYPERLINK("obsidian://open?vault=o2&amp;file=personsTemplate.md","personsTemplate")</f>
        <v>personsTemplate</v>
      </c>
      <c r="T95" s="11" t="s">
        <v>175</v>
      </c>
      <c r="AR95" s="11">
        <f>SUBTOTAL(3,_xlfn.SINGLE(tbl_pros[RowId]))</f>
        <v>1</v>
      </c>
    </row>
    <row r="96" spans="10:44">
      <c r="J96" s="4">
        <v>86</v>
      </c>
      <c r="K96" s="20" t="s">
        <v>14</v>
      </c>
      <c r="L96" s="2" t="s">
        <v>346</v>
      </c>
      <c r="M96" s="4">
        <v>1</v>
      </c>
      <c r="N96" s="4" t="s">
        <v>347</v>
      </c>
      <c r="O96" s="21" t="str">
        <f>HYPERLINK("obsidian://open?vault=o2&amp;file=%E2%9A%A1%20Home%20Project.md","⚡ Home Project")</f>
        <v>⚡ Home Project</v>
      </c>
      <c r="P96" s="11" t="s">
        <v>175</v>
      </c>
      <c r="AR96" s="11">
        <f>SUBTOTAL(3,_xlfn.SINGLE(tbl_pros[RowId]))</f>
        <v>1</v>
      </c>
    </row>
    <row r="97" spans="10:44">
      <c r="J97" s="4">
        <v>87</v>
      </c>
      <c r="K97" s="20" t="s">
        <v>14</v>
      </c>
      <c r="L97" s="2" t="s">
        <v>348</v>
      </c>
      <c r="M97" s="4">
        <v>1</v>
      </c>
      <c r="N97" s="4" t="s">
        <v>349</v>
      </c>
      <c r="O97" s="21" t="str">
        <f>HYPERLINK("obsidian://open?vault=o2&amp;file=2-Areas.md","2-Areas")</f>
        <v>2-Areas</v>
      </c>
      <c r="P97" s="11" t="s">
        <v>175</v>
      </c>
      <c r="AR97" s="11">
        <f>SUBTOTAL(3,_xlfn.SINGLE(tbl_pros[RowId]))</f>
        <v>1</v>
      </c>
    </row>
    <row r="98" spans="10:44">
      <c r="J98" s="4">
        <v>88</v>
      </c>
      <c r="K98" s="20" t="s">
        <v>14</v>
      </c>
      <c r="L98" s="2" t="s">
        <v>350</v>
      </c>
      <c r="M98" s="4">
        <v>3</v>
      </c>
      <c r="N98" s="4" t="s">
        <v>351</v>
      </c>
      <c r="O98" s="21" t="str">
        <f>HYPERLINK("obsidian://open?vault=o2&amp;file=2025-02-11.md","2025-02-11")</f>
        <v>2025-02-11</v>
      </c>
      <c r="P98" s="11" t="s">
        <v>175</v>
      </c>
      <c r="Q98" s="21" t="str">
        <f>HYPERLINK("obsidian://open?vault=o2&amp;file=2025-02-13.md","2025-02-13")</f>
        <v>2025-02-13</v>
      </c>
      <c r="R98" s="11" t="s">
        <v>175</v>
      </c>
      <c r="S98" s="21" t="str">
        <f>HYPERLINK("obsidian://open?vault=o2&amp;file=2025-02-14.md","2025-02-14")</f>
        <v>2025-02-14</v>
      </c>
      <c r="T98" s="11" t="s">
        <v>175</v>
      </c>
      <c r="AR98" s="11">
        <f>SUBTOTAL(3,_xlfn.SINGLE(tbl_pros[RowId]))</f>
        <v>1</v>
      </c>
    </row>
    <row r="99" spans="10:44">
      <c r="J99" s="4">
        <v>89</v>
      </c>
      <c r="K99" s="20" t="s">
        <v>15</v>
      </c>
      <c r="L99" s="2" t="s">
        <v>352</v>
      </c>
      <c r="M99" s="4">
        <v>1</v>
      </c>
      <c r="N99" s="4" t="s">
        <v>353</v>
      </c>
      <c r="O99" s="21" t="str">
        <f>HYPERLINK("obsidian://open?vault=o2&amp;file=2022-M07.md","2022-M07")</f>
        <v>2022-M07</v>
      </c>
      <c r="P99" s="11" t="s">
        <v>175</v>
      </c>
      <c r="AR99" s="11">
        <f>SUBTOTAL(3,_xlfn.SINGLE(tbl_pros[RowId]))</f>
        <v>1</v>
      </c>
    </row>
    <row r="100" spans="10:44">
      <c r="J100" s="4">
        <v>90</v>
      </c>
      <c r="K100" s="20" t="s">
        <v>15</v>
      </c>
      <c r="L100" s="2" t="s">
        <v>354</v>
      </c>
      <c r="M100" s="4">
        <v>1</v>
      </c>
      <c r="N100" s="4" t="s">
        <v>355</v>
      </c>
      <c r="O100" s="21" t="str">
        <f>HYPERLINK("obsidian://open?vault=o2&amp;file=2022-Q3.md","2022-Q3")</f>
        <v>2022-Q3</v>
      </c>
      <c r="P100" s="11" t="s">
        <v>175</v>
      </c>
      <c r="AR100" s="11">
        <f>SUBTOTAL(3,_xlfn.SINGLE(tbl_pros[RowId]))</f>
        <v>1</v>
      </c>
    </row>
    <row r="101" spans="10:44">
      <c r="J101" s="4">
        <v>91</v>
      </c>
      <c r="K101" s="20" t="s">
        <v>15</v>
      </c>
      <c r="L101" s="2" t="s">
        <v>356</v>
      </c>
      <c r="M101" s="4">
        <v>1</v>
      </c>
      <c r="N101" s="4" t="s">
        <v>357</v>
      </c>
      <c r="O101" s="21" t="str">
        <f>HYPERLINK("obsidian://open?vault=o2&amp;file=2022-W28.md","2022-W28")</f>
        <v>2022-W28</v>
      </c>
      <c r="P101" s="11" t="s">
        <v>175</v>
      </c>
      <c r="AR101" s="11">
        <f>SUBTOTAL(3,_xlfn.SINGLE(tbl_pros[RowId]))</f>
        <v>1</v>
      </c>
    </row>
    <row r="102" spans="10:44">
      <c r="J102" s="4">
        <v>92</v>
      </c>
      <c r="K102" s="20" t="s">
        <v>15</v>
      </c>
      <c r="L102" s="2" t="s">
        <v>358</v>
      </c>
      <c r="M102" s="4">
        <v>1</v>
      </c>
      <c r="N102" s="4" t="s">
        <v>359</v>
      </c>
      <c r="O102" s="21" t="str">
        <f>HYPERLINK("obsidian://open?vault=o2&amp;file=2022.md","2022")</f>
        <v>2022</v>
      </c>
      <c r="P102" s="11" t="s">
        <v>175</v>
      </c>
      <c r="AR102" s="11">
        <f>SUBTOTAL(3,_xlfn.SINGLE(tbl_pros[RowId]))</f>
        <v>1</v>
      </c>
    </row>
    <row r="103" spans="10:44">
      <c r="J103" s="4">
        <v>93</v>
      </c>
      <c r="K103" s="20" t="s">
        <v>15</v>
      </c>
      <c r="L103" s="2" t="s">
        <v>360</v>
      </c>
      <c r="M103" s="4">
        <v>1</v>
      </c>
      <c r="N103" s="4" t="s">
        <v>361</v>
      </c>
      <c r="O103" s="21" t="str">
        <f>HYPERLINK("obsidian://open?vault=o2&amp;file=2024-Q4.md","2024-Q4")</f>
        <v>2024-Q4</v>
      </c>
      <c r="P103" s="11" t="s">
        <v>175</v>
      </c>
      <c r="AR103" s="11">
        <f>SUBTOTAL(3,_xlfn.SINGLE(tbl_pros[RowId]))</f>
        <v>1</v>
      </c>
    </row>
    <row r="104" spans="10:44">
      <c r="J104" s="4">
        <v>94</v>
      </c>
      <c r="K104" s="20" t="s">
        <v>16</v>
      </c>
      <c r="L104" s="2" t="s">
        <v>280</v>
      </c>
      <c r="M104" s="4">
        <v>1</v>
      </c>
      <c r="N104" s="4" t="s">
        <v>362</v>
      </c>
      <c r="O104" s="21" t="str">
        <f>HYPERLINK("obsidian://open?vault=o2&amp;file=The%20Ultimate%20Cable%20Management%20Tier%20List.md","The Ultimate Cable Management Tier List")</f>
        <v>The Ultimate Cable Management Tier List</v>
      </c>
      <c r="P104" s="11" t="s">
        <v>175</v>
      </c>
      <c r="AR104" s="11">
        <f>SUBTOTAL(3,_xlfn.SINGLE(tbl_pros[RowId]))</f>
        <v>1</v>
      </c>
    </row>
    <row r="105" spans="10:44">
      <c r="J105" s="4">
        <v>95</v>
      </c>
      <c r="K105" s="20" t="s">
        <v>16</v>
      </c>
      <c r="L105" s="2" t="s">
        <v>284</v>
      </c>
      <c r="M105" s="4">
        <v>1</v>
      </c>
      <c r="N105" s="4" t="s">
        <v>363</v>
      </c>
      <c r="O105" s="21" t="str">
        <f>HYPERLINK("obsidian://open?vault=o2&amp;file=Free%20Lightroom%20Tutorial%20%20Adobe%20Lightroom%20Essentials%20Training%20Course.md","Free Lightroom Tutorial  Adobe Lightroom Essentials Training Course")</f>
        <v>Free Lightroom Tutorial  Adobe Lightroom Essentials Training Course</v>
      </c>
      <c r="P105" s="11" t="s">
        <v>175</v>
      </c>
      <c r="AR105" s="11">
        <f>SUBTOTAL(3,_xlfn.SINGLE(tbl_pros[RowId]))</f>
        <v>1</v>
      </c>
    </row>
    <row r="106" spans="10:44">
      <c r="J106" s="4">
        <v>96</v>
      </c>
      <c r="K106" s="20" t="s">
        <v>16</v>
      </c>
      <c r="L106" s="2" t="s">
        <v>286</v>
      </c>
      <c r="M106" s="4">
        <v>1</v>
      </c>
      <c r="N106" s="4" t="s">
        <v>364</v>
      </c>
      <c r="O106" s="21" t="str">
        <f>HYPERLINK("obsidian://open?vault=o2&amp;file=The%20Perfect%20Diane%20Sauce%20-%20Chicken%20Diane%20%20Chef%20Jean-Pierre.md","The Perfect Diane Sauce - Chicken Diane  Chef Jean-Pierre")</f>
        <v>The Perfect Diane Sauce - Chicken Diane  Chef Jean-Pierre</v>
      </c>
      <c r="P106" s="11" t="s">
        <v>175</v>
      </c>
      <c r="AR106" s="11">
        <f>SUBTOTAL(3,_xlfn.SINGLE(tbl_pros[RowId]))</f>
        <v>1</v>
      </c>
    </row>
    <row r="107" spans="10:44">
      <c r="J107" s="4">
        <v>97</v>
      </c>
      <c r="K107" s="20" t="s">
        <v>16</v>
      </c>
      <c r="L107" s="2" t="s">
        <v>288</v>
      </c>
      <c r="M107" s="4">
        <v>1</v>
      </c>
      <c r="N107" s="4" t="s">
        <v>365</v>
      </c>
      <c r="O107" s="21" t="str">
        <f>HYPERLINK("obsidian://open?vault=o2&amp;file=How%20To%20Hide%20Wires%20Behind%20Wall%20-%20NO%20DRYWALL%20REPAIR%20NEEDED%20Hiding%20Wires.md","How To Hide Wires Behind Wall - NO DRYWALL REPAIR NEEDED Hiding Wires")</f>
        <v>How To Hide Wires Behind Wall - NO DRYWALL REPAIR NEEDED Hiding Wires</v>
      </c>
      <c r="P107" s="11" t="s">
        <v>175</v>
      </c>
      <c r="AR107" s="11">
        <f>SUBTOTAL(3,_xlfn.SINGLE(tbl_pros[RowId]))</f>
        <v>1</v>
      </c>
    </row>
    <row r="108" spans="10:44">
      <c r="J108" s="4">
        <v>98</v>
      </c>
      <c r="K108" s="20" t="s">
        <v>16</v>
      </c>
      <c r="L108" s="2" t="s">
        <v>290</v>
      </c>
      <c r="M108" s="4">
        <v>1</v>
      </c>
      <c r="N108" s="4" t="s">
        <v>366</v>
      </c>
      <c r="O108" s="21" t="str">
        <f>HYPERLINK("obsidian://open?vault=o2&amp;file=Windows%2010%20and%2011%20Wont%20Boot%2C%20How%20To%20Fix%20UEFI%20Partition.md","Windows 10 and 11 Wont Boot, How To Fix UEFI Partition")</f>
        <v>Windows 10 and 11 Wont Boot, How To Fix UEFI Partition</v>
      </c>
      <c r="P108" s="11" t="s">
        <v>175</v>
      </c>
      <c r="AR108" s="11">
        <f>SUBTOTAL(3,_xlfn.SINGLE(tbl_pros[RowId]))</f>
        <v>1</v>
      </c>
    </row>
    <row r="109" spans="10:44">
      <c r="J109" s="4">
        <v>99</v>
      </c>
      <c r="K109" s="20" t="s">
        <v>16</v>
      </c>
      <c r="L109" s="2" t="s">
        <v>292</v>
      </c>
      <c r="M109" s="4">
        <v>1</v>
      </c>
      <c r="N109" s="4" t="s">
        <v>367</v>
      </c>
      <c r="O109"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P109" s="11" t="s">
        <v>175</v>
      </c>
      <c r="AR109" s="11">
        <f>SUBTOTAL(3,_xlfn.SINGLE(tbl_pros[RowId]))</f>
        <v>1</v>
      </c>
    </row>
    <row r="110" spans="10:44">
      <c r="J110" s="4">
        <v>100</v>
      </c>
      <c r="K110" s="20" t="s">
        <v>16</v>
      </c>
      <c r="L110" s="2" t="s">
        <v>294</v>
      </c>
      <c r="M110" s="4">
        <v>1</v>
      </c>
      <c r="N110" s="4" t="s">
        <v>368</v>
      </c>
      <c r="O110" s="21" t="str">
        <f>HYPERLINK("obsidian://open?vault=o2&amp;file=Architects%205%20Step%20Desk%20Setup%20Makeover.md","Architects 5 Step Desk Setup Makeover")</f>
        <v>Architects 5 Step Desk Setup Makeover</v>
      </c>
      <c r="P110" s="11" t="s">
        <v>175</v>
      </c>
      <c r="AR110" s="11">
        <f>SUBTOTAL(3,_xlfn.SINGLE(tbl_pros[RowId]))</f>
        <v>1</v>
      </c>
    </row>
    <row r="111" spans="10:44">
      <c r="J111" s="4">
        <v>101</v>
      </c>
      <c r="K111" s="20" t="s">
        <v>16</v>
      </c>
      <c r="L111" s="2" t="s">
        <v>296</v>
      </c>
      <c r="M111" s="4">
        <v>1</v>
      </c>
      <c r="N111" s="4" t="s">
        <v>369</v>
      </c>
      <c r="O111" s="21" t="str">
        <f>HYPERLINK("obsidian://open?vault=o2&amp;file=Flat%20Icon%20and%20Shadow%20Using%20The%20Blend%20Tool%20In%20Adobe%20Illustrator.md","Flat Icon and Shadow Using The Blend Tool In Adobe Illustrator")</f>
        <v>Flat Icon and Shadow Using The Blend Tool In Adobe Illustrator</v>
      </c>
      <c r="P111" s="11" t="s">
        <v>175</v>
      </c>
      <c r="AR111" s="11">
        <f>SUBTOTAL(3,_xlfn.SINGLE(tbl_pros[RowId]))</f>
        <v>1</v>
      </c>
    </row>
    <row r="112" spans="10:44">
      <c r="J112" s="4">
        <v>102</v>
      </c>
      <c r="K112" s="20" t="s">
        <v>16</v>
      </c>
      <c r="L112" s="2" t="s">
        <v>302</v>
      </c>
      <c r="M112" s="4">
        <v>1</v>
      </c>
      <c r="N112" s="4" t="s">
        <v>370</v>
      </c>
      <c r="O112" s="21" t="str">
        <f>HYPERLINK("obsidian://open?vault=o2&amp;file=20%20AMAZING%20Art%20Workspace%20Hacks%20%28FREE%20or%20cheap%21%29.md","20 AMAZING Art Workspace Hacks (FREE or cheap!)")</f>
        <v>20 AMAZING Art Workspace Hacks (FREE or cheap!)</v>
      </c>
      <c r="P112" s="11" t="s">
        <v>175</v>
      </c>
      <c r="AR112" s="11">
        <f>SUBTOTAL(3,_xlfn.SINGLE(tbl_pros[RowId]))</f>
        <v>1</v>
      </c>
    </row>
    <row r="113" spans="10:44">
      <c r="J113" s="4">
        <v>103</v>
      </c>
      <c r="K113" s="20" t="s">
        <v>16</v>
      </c>
      <c r="L113" s="2" t="s">
        <v>306</v>
      </c>
      <c r="M113" s="4">
        <v>1</v>
      </c>
      <c r="N113" s="4" t="s">
        <v>371</v>
      </c>
      <c r="O113" s="21" t="str">
        <f>HYPERLINK("obsidian://open?vault=o2&amp;file=Time%20to%20UNSUBSCRIBE%20from%20Disney%2B%2C%20Netflix%2C%20etc%21.md","Time to UNSUBSCRIBE from Disney+, Netflix, etc!")</f>
        <v>Time to UNSUBSCRIBE from Disney+, Netflix, etc!</v>
      </c>
      <c r="P113" s="11" t="s">
        <v>175</v>
      </c>
      <c r="AR113" s="11">
        <f>SUBTOTAL(3,_xlfn.SINGLE(tbl_pros[RowId]))</f>
        <v>1</v>
      </c>
    </row>
    <row r="114" spans="10:44">
      <c r="J114" s="4">
        <v>104</v>
      </c>
      <c r="K114" s="20" t="s">
        <v>16</v>
      </c>
      <c r="L114" s="2" t="s">
        <v>308</v>
      </c>
      <c r="M114" s="4">
        <v>1</v>
      </c>
      <c r="N114" s="4" t="s">
        <v>372</v>
      </c>
      <c r="O114" s="21" t="str">
        <f>HYPERLINK("obsidian://open?vault=o2&amp;file=How%20I%20Would%20Learn%20Obsidian%20MD%20%28If%20I%20could%20start%20over%29.md","How I Would Learn Obsidian MD (If I could start over)")</f>
        <v>How I Would Learn Obsidian MD (If I could start over)</v>
      </c>
      <c r="P114" s="11" t="s">
        <v>175</v>
      </c>
      <c r="AR114" s="11">
        <f>SUBTOTAL(3,_xlfn.SINGLE(tbl_pros[RowId]))</f>
        <v>1</v>
      </c>
    </row>
    <row r="115" spans="10:44">
      <c r="J115" s="4">
        <v>105</v>
      </c>
      <c r="K115" s="20" t="s">
        <v>16</v>
      </c>
      <c r="L115" s="2" t="s">
        <v>314</v>
      </c>
      <c r="M115" s="4">
        <v>1</v>
      </c>
      <c r="N115" s="4" t="s">
        <v>373</v>
      </c>
      <c r="O115"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115" s="11" t="s">
        <v>175</v>
      </c>
      <c r="AR115" s="11">
        <f>SUBTOTAL(3,_xlfn.SINGLE(tbl_pros[RowId]))</f>
        <v>1</v>
      </c>
    </row>
    <row r="116" spans="10:44">
      <c r="J116" s="4">
        <v>106</v>
      </c>
      <c r="K116" s="20" t="s">
        <v>16</v>
      </c>
      <c r="L116" s="2" t="s">
        <v>320</v>
      </c>
      <c r="M116" s="4">
        <v>2</v>
      </c>
      <c r="N116" s="4" t="s">
        <v>374</v>
      </c>
      <c r="O116" s="21" t="str">
        <f>HYPERLINK("obsidian://open?vault=o2&amp;file=22%20FREE%20Windows%20Utilities%20EVERY%20User%20MUST%20Know%20About%21.md","22 FREE Windows Utilities EVERY User MUST Know About!")</f>
        <v>22 FREE Windows Utilities EVERY User MUST Know About!</v>
      </c>
      <c r="P116" s="11" t="s">
        <v>175</v>
      </c>
      <c r="Q116" s="21" t="str">
        <f>HYPERLINK("obsidian://open?vault=o2&amp;file=I%20Made%20an%20App%20that%20KEEPS%20Windows%2011%20Debloated%20%26%20Optimized.md","I Made an App that KEEPS Windows 11 Debloated &amp; Optimized")</f>
        <v>I Made an App that KEEPS Windows 11 Debloated &amp; Optimized</v>
      </c>
      <c r="R116" s="11" t="s">
        <v>175</v>
      </c>
      <c r="AR116" s="11">
        <f>SUBTOTAL(3,_xlfn.SINGLE(tbl_pros[RowId]))</f>
        <v>1</v>
      </c>
    </row>
    <row r="117" spans="10:44">
      <c r="J117" s="4">
        <v>107</v>
      </c>
      <c r="K117" s="20" t="s">
        <v>16</v>
      </c>
      <c r="L117" s="2" t="s">
        <v>324</v>
      </c>
      <c r="M117" s="4">
        <v>1</v>
      </c>
      <c r="N117" s="4" t="s">
        <v>375</v>
      </c>
      <c r="O117" s="21" t="str">
        <f>HYPERLINK("obsidian://open?vault=o2&amp;file=My%20Clean%2C%20Modern%20Desk%20Setup%20for%20Productivity%20%26%20Creativity.md","My Clean, Modern Desk Setup for Productivity &amp; Creativity")</f>
        <v>My Clean, Modern Desk Setup for Productivity &amp; Creativity</v>
      </c>
      <c r="P117" s="11" t="s">
        <v>175</v>
      </c>
      <c r="AR117" s="11">
        <f>SUBTOTAL(3,_xlfn.SINGLE(tbl_pros[RowId]))</f>
        <v>1</v>
      </c>
    </row>
    <row r="118" spans="10:44">
      <c r="J118" s="4">
        <v>108</v>
      </c>
      <c r="K118" s="20" t="s">
        <v>16</v>
      </c>
      <c r="L118" s="2" t="s">
        <v>328</v>
      </c>
      <c r="M118" s="4">
        <v>1</v>
      </c>
      <c r="N118" s="4" t="s">
        <v>376</v>
      </c>
      <c r="O118" s="21" t="str">
        <f>HYPERLINK("obsidian://open?vault=o2&amp;file=8%20Easy%20Food%20Plating%20Hacks%20That%20Will%20Blow%20You%20Away.md","8 Easy Food Plating Hacks That Will Blow You Away")</f>
        <v>8 Easy Food Plating Hacks That Will Blow You Away</v>
      </c>
      <c r="P118" s="11" t="s">
        <v>175</v>
      </c>
      <c r="AR118" s="11">
        <f>SUBTOTAL(3,_xlfn.SINGLE(tbl_pros[RowId]))</f>
        <v>1</v>
      </c>
    </row>
    <row r="119" spans="10:44">
      <c r="J119" s="4">
        <v>109</v>
      </c>
      <c r="K119" s="20" t="s">
        <v>16</v>
      </c>
      <c r="L119" s="2" t="s">
        <v>334</v>
      </c>
      <c r="M119" s="4">
        <v>2</v>
      </c>
      <c r="N119" s="4" t="s">
        <v>377</v>
      </c>
      <c r="O119" s="21" t="str">
        <f>HYPERLINK("obsidian://open?vault=o2&amp;file=Better%20Than%20Grandmas%20Dinner%21%20My%20Parents%20Were%20Stunned%20After%20Trying%20It%21%21%21.md","Better Than Grandmas Dinner! My Parents Were Stunned After Trying It!!!")</f>
        <v>Better Than Grandmas Dinner! My Parents Were Stunned After Trying It!!!</v>
      </c>
      <c r="P119" s="11" t="s">
        <v>175</v>
      </c>
      <c r="Q119"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R119" s="11" t="s">
        <v>175</v>
      </c>
      <c r="AR119" s="11">
        <f>SUBTOTAL(3,_xlfn.SINGLE(tbl_pros[RowId]))</f>
        <v>1</v>
      </c>
    </row>
    <row r="120" spans="10:44">
      <c r="J120" s="4">
        <v>110</v>
      </c>
      <c r="K120" s="20" t="s">
        <v>16</v>
      </c>
      <c r="L120" s="2" t="s">
        <v>378</v>
      </c>
      <c r="M120" s="4">
        <v>1</v>
      </c>
      <c r="N120" s="4" t="s">
        <v>379</v>
      </c>
      <c r="O120"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P120" s="11" t="s">
        <v>175</v>
      </c>
      <c r="AR120" s="11">
        <f>SUBTOTAL(3,_xlfn.SINGLE(tbl_pros[RowId]))</f>
        <v>1</v>
      </c>
    </row>
    <row r="121" spans="10:44">
      <c r="J121" s="4">
        <v>111</v>
      </c>
      <c r="K121" s="20" t="s">
        <v>17</v>
      </c>
      <c r="L121" s="2" t="b">
        <v>1</v>
      </c>
      <c r="M121" s="4">
        <v>3</v>
      </c>
      <c r="N121" s="4" t="s">
        <v>380</v>
      </c>
      <c r="O121" s="21" t="str">
        <f>HYPERLINK("obsidian://open?vault=o2&amp;file=My%20Adobe%20CS5.5%20Notes.md","My Adobe CS5.5 Notes")</f>
        <v>My Adobe CS5.5 Notes</v>
      </c>
      <c r="P121" s="11" t="s">
        <v>175</v>
      </c>
      <c r="Q121" s="21" t="str">
        <f>HYPERLINK("obsidian://open?vault=o2&amp;file=PC%20Re-Build%20Step%20Sequence%20Script.md","PC Re-Build Step Sequence Script")</f>
        <v>PC Re-Build Step Sequence Script</v>
      </c>
      <c r="R121" s="11" t="s">
        <v>175</v>
      </c>
      <c r="S121" s="21" t="str">
        <f>HYPERLINK("obsidian://open?vault=o2&amp;file=Windows%2011%20Network%20Drive%20Mapping%20Setup.md","Windows 11 Network Drive Mapping Setup")</f>
        <v>Windows 11 Network Drive Mapping Setup</v>
      </c>
      <c r="T121" s="11" t="s">
        <v>175</v>
      </c>
      <c r="AR121" s="11">
        <f>SUBTOTAL(3,_xlfn.SINGLE(tbl_pros[RowId]))</f>
        <v>1</v>
      </c>
    </row>
    <row r="122" spans="10:44">
      <c r="J122" s="4">
        <v>112</v>
      </c>
      <c r="K122" s="20" t="s">
        <v>18</v>
      </c>
      <c r="L122" s="2" t="s">
        <v>381</v>
      </c>
      <c r="M122" s="4">
        <v>1</v>
      </c>
      <c r="N122" s="4" t="s">
        <v>382</v>
      </c>
      <c r="O122" s="21" t="str">
        <f>HYPERLINK("obsidian://open?vault=o2&amp;file=Sex%20on%20the%20Beach.md","Sex on the Beach")</f>
        <v>Sex on the Beach</v>
      </c>
      <c r="P122" s="11" t="s">
        <v>175</v>
      </c>
      <c r="AR122" s="11">
        <f>SUBTOTAL(3,_xlfn.SINGLE(tbl_pros[RowId]))</f>
        <v>1</v>
      </c>
    </row>
    <row r="123" spans="10:44">
      <c r="J123" s="4">
        <v>113</v>
      </c>
      <c r="K123" s="20" t="s">
        <v>19</v>
      </c>
      <c r="L123" s="2" t="s">
        <v>383</v>
      </c>
      <c r="M123" s="4">
        <v>1</v>
      </c>
      <c r="N123" s="4" t="s">
        <v>384</v>
      </c>
      <c r="O123" s="21" t="str">
        <f>HYPERLINK("obsidian://open?vault=o2&amp;file=Search%20and%20Replace%20in%20Vim.md","Search and Replace in Vim")</f>
        <v>Search and Replace in Vim</v>
      </c>
      <c r="P123" s="11" t="s">
        <v>175</v>
      </c>
      <c r="AR123" s="11">
        <f>SUBTOTAL(3,_xlfn.SINGLE(tbl_pros[RowId]))</f>
        <v>1</v>
      </c>
    </row>
    <row r="124" spans="10:44">
      <c r="J124" s="4">
        <v>114</v>
      </c>
      <c r="K124" s="20" t="s">
        <v>19</v>
      </c>
      <c r="L124" s="2" t="s">
        <v>385</v>
      </c>
      <c r="M124" s="4">
        <v>1</v>
      </c>
      <c r="N124" s="4" t="s">
        <v>386</v>
      </c>
      <c r="O124" s="21" t="str">
        <f>HYPERLINK("obsidian://open?vault=o2&amp;file=The%20ad%20haters%20guide%20to%20cord-cutting%20-%20TechHive.md","The ad haters guide to cord-cutting - TechHive")</f>
        <v>The ad haters guide to cord-cutting - TechHive</v>
      </c>
      <c r="P124" s="11" t="s">
        <v>175</v>
      </c>
      <c r="AR124" s="11">
        <f>SUBTOTAL(3,_xlfn.SINGLE(tbl_pros[RowId]))</f>
        <v>1</v>
      </c>
    </row>
    <row r="125" spans="10:44">
      <c r="J125" s="4">
        <v>115</v>
      </c>
      <c r="K125" s="20" t="s">
        <v>19</v>
      </c>
      <c r="L125" s="2" t="s">
        <v>387</v>
      </c>
      <c r="M125" s="4">
        <v>1</v>
      </c>
      <c r="N125" s="4" t="s">
        <v>388</v>
      </c>
      <c r="O125" s="21" t="str">
        <f>HYPERLINK("obsidian://open?vault=o2&amp;file=Vim%20Cheatsheet.md","Vim Cheatsheet")</f>
        <v>Vim Cheatsheet</v>
      </c>
      <c r="P125" s="11" t="s">
        <v>175</v>
      </c>
      <c r="AR125" s="11">
        <f>SUBTOTAL(3,_xlfn.SINGLE(tbl_pros[RowId]))</f>
        <v>1</v>
      </c>
    </row>
    <row r="126" spans="10:44">
      <c r="J126" s="4">
        <v>116</v>
      </c>
      <c r="K126" s="20" t="s">
        <v>19</v>
      </c>
      <c r="L126" s="2" t="s">
        <v>389</v>
      </c>
      <c r="M126" s="4">
        <v>1</v>
      </c>
      <c r="N126" s="4" t="s">
        <v>390</v>
      </c>
      <c r="O126" s="21" t="str">
        <f>HYPERLINK("obsidian://open?vault=o2&amp;file=How%20to%20Disable%20IPV6.md","How to Disable IPV6")</f>
        <v>How to Disable IPV6</v>
      </c>
      <c r="P126" s="11" t="s">
        <v>175</v>
      </c>
      <c r="AR126" s="11">
        <f>SUBTOTAL(3,_xlfn.SINGLE(tbl_pros[RowId]))</f>
        <v>1</v>
      </c>
    </row>
    <row r="127" spans="10:44">
      <c r="J127" s="4">
        <v>117</v>
      </c>
      <c r="K127" s="20" t="s">
        <v>19</v>
      </c>
      <c r="L127" s="2" t="s">
        <v>391</v>
      </c>
      <c r="M127" s="4">
        <v>1</v>
      </c>
      <c r="N127" s="4" t="s">
        <v>392</v>
      </c>
      <c r="O127" s="21" t="str">
        <f>HYPERLINK("obsidian://open?vault=o2&amp;file=Zimaboard%20Hardware%20Ports.md","Zimaboard Hardware Ports")</f>
        <v>Zimaboard Hardware Ports</v>
      </c>
      <c r="P127" s="11" t="s">
        <v>175</v>
      </c>
      <c r="AR127" s="11">
        <f>SUBTOTAL(3,_xlfn.SINGLE(tbl_pros[RowId]))</f>
        <v>1</v>
      </c>
    </row>
    <row r="128" spans="10:44">
      <c r="J128" s="4">
        <v>118</v>
      </c>
      <c r="K128" s="20" t="s">
        <v>19</v>
      </c>
      <c r="L128" s="2" t="s">
        <v>393</v>
      </c>
      <c r="M128" s="4">
        <v>1</v>
      </c>
      <c r="N128" s="4" t="s">
        <v>394</v>
      </c>
      <c r="O128" s="21" t="str">
        <f>HYPERLINK("obsidian://open?vault=o2&amp;file=Fix%20Sound%20on%20Movies.md","Fix Sound on Movies")</f>
        <v>Fix Sound on Movies</v>
      </c>
      <c r="P128" s="11" t="s">
        <v>175</v>
      </c>
      <c r="AR128" s="11">
        <f>SUBTOTAL(3,_xlfn.SINGLE(tbl_pros[RowId]))</f>
        <v>1</v>
      </c>
    </row>
    <row r="129" spans="10:44">
      <c r="J129" s="4">
        <v>119</v>
      </c>
      <c r="K129" s="20" t="s">
        <v>19</v>
      </c>
      <c r="L129" s="2" t="s">
        <v>395</v>
      </c>
      <c r="M129" s="4">
        <v>1</v>
      </c>
      <c r="N129" s="4" t="s">
        <v>396</v>
      </c>
      <c r="O129" s="21" t="str">
        <f>HYPERLINK("obsidian://open?vault=o2&amp;file=Set%20Up%20and%20Secure%20a%20Compute%20Instance.md","Set Up and Secure a Compute Instance")</f>
        <v>Set Up and Secure a Compute Instance</v>
      </c>
      <c r="P129" s="11" t="s">
        <v>175</v>
      </c>
      <c r="AR129" s="11">
        <f>SUBTOTAL(3,_xlfn.SINGLE(tbl_pros[RowId]))</f>
        <v>1</v>
      </c>
    </row>
    <row r="130" spans="10:44">
      <c r="J130" s="4">
        <v>120</v>
      </c>
      <c r="K130" s="20" t="s">
        <v>19</v>
      </c>
      <c r="L130" s="22">
        <v>44978</v>
      </c>
      <c r="M130" s="4">
        <v>1</v>
      </c>
      <c r="N130" s="4" t="s">
        <v>397</v>
      </c>
      <c r="O130" s="21" t="str">
        <f>HYPERLINK("obsidian://open?vault=o2&amp;file=13%20Crucial%20Questions%20to%20Ask%20a%20Realtor%20When%20Selling.md","13 Crucial Questions to Ask a Realtor When Selling")</f>
        <v>13 Crucial Questions to Ask a Realtor When Selling</v>
      </c>
      <c r="P130" s="11" t="s">
        <v>175</v>
      </c>
      <c r="AR130" s="11">
        <f>SUBTOTAL(3,_xlfn.SINGLE(tbl_pros[RowId]))</f>
        <v>1</v>
      </c>
    </row>
    <row r="131" spans="10:44">
      <c r="J131" s="4">
        <v>121</v>
      </c>
      <c r="K131" s="20" t="s">
        <v>19</v>
      </c>
      <c r="L131" s="2" t="s">
        <v>398</v>
      </c>
      <c r="M131" s="4">
        <v>1</v>
      </c>
      <c r="N131" s="4" t="s">
        <v>399</v>
      </c>
      <c r="O131"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P131" s="11" t="s">
        <v>175</v>
      </c>
      <c r="AR131" s="11">
        <f>SUBTOTAL(3,_xlfn.SINGLE(tbl_pros[RowId]))</f>
        <v>1</v>
      </c>
    </row>
    <row r="132" spans="10:44">
      <c r="J132" s="4">
        <v>122</v>
      </c>
      <c r="K132" s="20" t="s">
        <v>19</v>
      </c>
      <c r="L132" s="2" t="s">
        <v>400</v>
      </c>
      <c r="M132" s="4">
        <v>1</v>
      </c>
      <c r="N132" s="4" t="s">
        <v>401</v>
      </c>
      <c r="O132" s="21" t="str">
        <f>HYPERLINK("obsidian://open?vault=o2&amp;file=Download%20amCharts%205%20-%20amCharts.md","Download amCharts 5 - amCharts")</f>
        <v>Download amCharts 5 - amCharts</v>
      </c>
      <c r="P132" s="11" t="s">
        <v>175</v>
      </c>
      <c r="AR132" s="11">
        <f>SUBTOTAL(3,_xlfn.SINGLE(tbl_pros[RowId]))</f>
        <v>1</v>
      </c>
    </row>
    <row r="133" spans="10:44">
      <c r="J133" s="4">
        <v>123</v>
      </c>
      <c r="K133" s="20" t="s">
        <v>19</v>
      </c>
      <c r="L133" s="2" t="s">
        <v>402</v>
      </c>
      <c r="M133" s="4">
        <v>1</v>
      </c>
      <c r="N133" s="4" t="s">
        <v>403</v>
      </c>
      <c r="O133" s="21" t="str">
        <f>HYPERLINK("obsidian://open?vault=o2&amp;file=How%20to%20text%20from%20your%20PC%20if%20you%20have%20an%20iPhone.md","How to text from your PC if you have an iPhone")</f>
        <v>How to text from your PC if you have an iPhone</v>
      </c>
      <c r="P133" s="11" t="s">
        <v>175</v>
      </c>
      <c r="AR133" s="11">
        <f>SUBTOTAL(3,_xlfn.SINGLE(tbl_pros[RowId]))</f>
        <v>1</v>
      </c>
    </row>
    <row r="134" spans="10:44">
      <c r="J134" s="4">
        <v>124</v>
      </c>
      <c r="K134" s="20" t="s">
        <v>19</v>
      </c>
      <c r="L134" s="2" t="s">
        <v>404</v>
      </c>
      <c r="M134" s="4">
        <v>1</v>
      </c>
      <c r="N134" s="4" t="s">
        <v>405</v>
      </c>
      <c r="O134" s="21" t="str">
        <f>HYPERLINK("obsidian://open?vault=o2&amp;file=Online%20Referral%20Request.md","Online Referral Request")</f>
        <v>Online Referral Request</v>
      </c>
      <c r="P134" s="11" t="s">
        <v>175</v>
      </c>
      <c r="AR134" s="11">
        <f>SUBTOTAL(3,_xlfn.SINGLE(tbl_pros[RowId]))</f>
        <v>1</v>
      </c>
    </row>
    <row r="135" spans="10:44">
      <c r="J135" s="4">
        <v>125</v>
      </c>
      <c r="K135" s="20" t="s">
        <v>19</v>
      </c>
      <c r="L135" s="2" t="s">
        <v>406</v>
      </c>
      <c r="M135" s="4">
        <v>1</v>
      </c>
      <c r="N135" s="4" t="s">
        <v>407</v>
      </c>
      <c r="O135" s="21" t="str">
        <f>HYPERLINK("obsidian://open?vault=o2&amp;file=Photo%20in%20Home%20Maintenance%20-%20Google%20Photos.md","Photo in Home Maintenance - Google Photos")</f>
        <v>Photo in Home Maintenance - Google Photos</v>
      </c>
      <c r="P135" s="11" t="s">
        <v>175</v>
      </c>
      <c r="AR135" s="11">
        <f>SUBTOTAL(3,_xlfn.SINGLE(tbl_pros[RowId]))</f>
        <v>1</v>
      </c>
    </row>
    <row r="136" spans="10:44">
      <c r="J136" s="4">
        <v>126</v>
      </c>
      <c r="K136" s="20" t="s">
        <v>19</v>
      </c>
      <c r="L136" s="2" t="s">
        <v>408</v>
      </c>
      <c r="M136" s="4">
        <v>1</v>
      </c>
      <c r="N136" s="4" t="s">
        <v>409</v>
      </c>
      <c r="O136" s="21" t="str">
        <f>HYPERLINK("obsidian://open?vault=o2&amp;file=Provider%20Search%20Results%20%20Find%20Care.md","Provider Search Results  Find Care")</f>
        <v>Provider Search Results  Find Care</v>
      </c>
      <c r="P136" s="11" t="s">
        <v>175</v>
      </c>
      <c r="AR136" s="11">
        <f>SUBTOTAL(3,_xlfn.SINGLE(tbl_pros[RowId]))</f>
        <v>1</v>
      </c>
    </row>
    <row r="137" spans="10:44">
      <c r="J137" s="4">
        <v>127</v>
      </c>
      <c r="K137" s="20" t="s">
        <v>19</v>
      </c>
      <c r="L137" s="2" t="s">
        <v>410</v>
      </c>
      <c r="M137" s="4">
        <v>1</v>
      </c>
      <c r="N137" s="4" t="s">
        <v>411</v>
      </c>
      <c r="O137" s="21" t="str">
        <f>HYPERLINK("obsidian://open?vault=o2&amp;file=The%20Best%20Ways%20to%20Kill%20Ants%20Using%20Borax%20-%20wikiHow.md","The Best Ways to Kill Ants Using Borax - wikiHow")</f>
        <v>The Best Ways to Kill Ants Using Borax - wikiHow</v>
      </c>
      <c r="P137" s="11" t="s">
        <v>175</v>
      </c>
      <c r="AR137" s="11">
        <f>SUBTOTAL(3,_xlfn.SINGLE(tbl_pros[RowId]))</f>
        <v>1</v>
      </c>
    </row>
    <row r="138" spans="10:44">
      <c r="J138" s="4">
        <v>128</v>
      </c>
      <c r="K138" s="20" t="s">
        <v>19</v>
      </c>
      <c r="L138" s="2" t="s">
        <v>412</v>
      </c>
      <c r="M138" s="4">
        <v>1</v>
      </c>
      <c r="N138" s="4" t="s">
        <v>413</v>
      </c>
      <c r="O138" s="21" t="str">
        <f>HYPERLINK("obsidian://open?vault=o2&amp;file=Having%20Deeper%20Conversations.md","Having Deeper Conversations")</f>
        <v>Having Deeper Conversations</v>
      </c>
      <c r="P138" s="11" t="s">
        <v>175</v>
      </c>
      <c r="AR138" s="11">
        <f>SUBTOTAL(3,_xlfn.SINGLE(tbl_pros[RowId]))</f>
        <v>1</v>
      </c>
    </row>
    <row r="139" spans="10:44">
      <c r="J139" s="4">
        <v>129</v>
      </c>
      <c r="K139" s="14" t="s">
        <v>20</v>
      </c>
      <c r="L139" s="2" t="s">
        <v>414</v>
      </c>
      <c r="M139" s="4">
        <v>1</v>
      </c>
      <c r="N139" s="4" t="s">
        <v>415</v>
      </c>
      <c r="O139" s="21" t="str">
        <f>HYPERLINK("obsidian://open?vault=o2&amp;file=%F0%9F%93%A5%20Review%20Pinterest%20Account%20For%20Ideas.md","📥 Review Pinterest Account For Ideas")</f>
        <v>📥 Review Pinterest Account For Ideas</v>
      </c>
      <c r="P139" s="11" t="s">
        <v>175</v>
      </c>
      <c r="AR139" s="11">
        <f>SUBTOTAL(3,_xlfn.SINGLE(tbl_pros[RowId]))</f>
        <v>1</v>
      </c>
    </row>
    <row r="140" spans="10:44">
      <c r="J140" s="4">
        <v>130</v>
      </c>
      <c r="K140" s="14" t="s">
        <v>20</v>
      </c>
      <c r="L140" s="2" t="s">
        <v>416</v>
      </c>
      <c r="M140" s="4">
        <v>1</v>
      </c>
      <c r="N140" s="4" t="s">
        <v>417</v>
      </c>
      <c r="O140" s="21" t="str">
        <f>HYPERLINK("obsidian://open?vault=o2&amp;file=%F0%9F%93%A5%20Pinterest%20as%20a%20Source.md","📥 Pinterest as a Source")</f>
        <v>📥 Pinterest as a Source</v>
      </c>
      <c r="P140" s="11" t="s">
        <v>175</v>
      </c>
      <c r="AR140" s="11">
        <f>SUBTOTAL(3,_xlfn.SINGLE(tbl_pros[RowId]))</f>
        <v>1</v>
      </c>
    </row>
    <row r="141" spans="10:44">
      <c r="J141" s="4">
        <v>131</v>
      </c>
      <c r="K141" s="14" t="s">
        <v>20</v>
      </c>
      <c r="L141" s="2" t="s">
        <v>418</v>
      </c>
      <c r="M141" s="4">
        <v>1</v>
      </c>
      <c r="N141" s="4" t="s">
        <v>419</v>
      </c>
      <c r="O141" s="21" t="str">
        <f>HYPERLINK("obsidian://open?vault=o2&amp;file=General%20Input%20Template.md","General Input Template")</f>
        <v>General Input Template</v>
      </c>
      <c r="P141" s="11" t="s">
        <v>175</v>
      </c>
      <c r="AR141" s="11">
        <f>SUBTOTAL(3,_xlfn.SINGLE(tbl_pros[RowId]))</f>
        <v>1</v>
      </c>
    </row>
    <row r="142" spans="10:44">
      <c r="J142" s="4">
        <v>132</v>
      </c>
      <c r="K142" s="20" t="s">
        <v>21</v>
      </c>
      <c r="L142" s="2" t="s">
        <v>420</v>
      </c>
      <c r="M142" s="4">
        <v>45</v>
      </c>
      <c r="N142" s="4" t="s">
        <v>421</v>
      </c>
      <c r="O142" s="21" t="str">
        <f>HYPERLINK("obsidian://open?vault=o2&amp;file=2025-04-03.md","2025-04-03")</f>
        <v>2025-04-03</v>
      </c>
      <c r="P142" s="11" t="s">
        <v>175</v>
      </c>
      <c r="Q142" s="21" t="str">
        <f>HYPERLINK("obsidian://open?vault=o2&amp;file=%E2%9A%93%20My%20Areas.md","⚓ My Areas")</f>
        <v>⚓ My Areas</v>
      </c>
      <c r="R142" s="11" t="s">
        <v>175</v>
      </c>
      <c r="S142" s="21" t="str">
        <f>HYPERLINK("obsidian://open?vault=o2&amp;file=0-Inbox.md","0-Inbox")</f>
        <v>0-Inbox</v>
      </c>
      <c r="T142" s="11" t="s">
        <v>175</v>
      </c>
      <c r="U142" s="21" t="str">
        <f>HYPERLINK("obsidian://open?vault=o2&amp;file=%F0%9F%A6%8B%20My%20Resources.md","🦋 My Resources")</f>
        <v>🦋 My Resources</v>
      </c>
      <c r="V142" s="11" t="s">
        <v>175</v>
      </c>
      <c r="W142" s="21" t="str">
        <f>HYPERLINK("obsidian://open?vault=o2&amp;file=%F0%9F%A6%8B%20Home.md","🦋 Home")</f>
        <v>🦋 Home</v>
      </c>
      <c r="X142" s="11" t="s">
        <v>175</v>
      </c>
      <c r="Y142" s="21" t="str">
        <f>HYPERLINK("obsidian://open?vault=o2&amp;file=4-Archives.md","4-Archives")</f>
        <v>4-Archives</v>
      </c>
      <c r="Z142" s="11" t="s">
        <v>175</v>
      </c>
      <c r="AA142" s="21" t="str">
        <f>HYPERLINK("obsidian://open?vault=o2&amp;file=5-Misc.md","5-Misc")</f>
        <v>5-Misc</v>
      </c>
      <c r="AB142" s="11" t="s">
        <v>175</v>
      </c>
      <c r="AC142" s="21" t="str">
        <f>HYPERLINK("obsidian://open?vault=o2&amp;file=6-Journal.md","6-Journal")</f>
        <v>6-Journal</v>
      </c>
      <c r="AD142" s="11" t="s">
        <v>175</v>
      </c>
      <c r="AE142" s="21" t="str">
        <f>HYPERLINK("obsidian://open?vault=o2&amp;file=2025-02-17.md","2025-02-17")</f>
        <v>2025-02-17</v>
      </c>
      <c r="AF142" s="11" t="s">
        <v>175</v>
      </c>
      <c r="AG142" s="21" t="str">
        <f>HYPERLINK("obsidian://open?vault=o2&amp;file=2025-02-19.md","2025-02-19")</f>
        <v>2025-02-19</v>
      </c>
      <c r="AH142" s="11" t="s">
        <v>175</v>
      </c>
      <c r="AI142" s="21" t="str">
        <f>HYPERLINK("obsidian://open?vault=o2&amp;file=2025-02-20.md","2025-02-20")</f>
        <v>2025-02-20</v>
      </c>
      <c r="AJ142" s="11" t="s">
        <v>175</v>
      </c>
      <c r="AK142" s="21" t="str">
        <f>HYPERLINK("obsidian://open?vault=o2&amp;file=2025-02-25.md","2025-02-25")</f>
        <v>2025-02-25</v>
      </c>
      <c r="AL142" s="11" t="s">
        <v>175</v>
      </c>
      <c r="AM142" s="21" t="str">
        <f>HYPERLINK("obsidian://open?vault=o2&amp;file=2025-02-26.md","2025-02-26")</f>
        <v>2025-02-26</v>
      </c>
      <c r="AN142" s="11" t="s">
        <v>175</v>
      </c>
      <c r="AO142" s="21" t="str">
        <f>HYPERLINK("obsidian://open?vault=o2&amp;file=2025-02-27.md","2025-02-27")</f>
        <v>2025-02-27</v>
      </c>
      <c r="AP142" s="11" t="s">
        <v>175</v>
      </c>
      <c r="AQ142" s="21" t="str">
        <f>HYPERLINK("obsidian://open?vault=o2&amp;file=2025-03-01.md","2025-03-01")</f>
        <v>2025-03-01</v>
      </c>
      <c r="AR142" s="11">
        <f>SUBTOTAL(3,_xlfn.SINGLE(tbl_pros[RowId]))</f>
        <v>1</v>
      </c>
    </row>
    <row r="143" spans="10:44">
      <c r="J143" s="4">
        <v>133</v>
      </c>
      <c r="K143" s="20" t="s">
        <v>21</v>
      </c>
      <c r="L143" s="2" t="s">
        <v>422</v>
      </c>
      <c r="M143" s="4">
        <v>2</v>
      </c>
      <c r="N143" s="4" t="s">
        <v>423</v>
      </c>
      <c r="O143" s="21" t="str">
        <f>HYPERLINK("obsidian://open?vault=o2&amp;file=Paul%20D%20Directory%20Template%20Test.md","Paul D Directory Template Test")</f>
        <v>Paul D Directory Template Test</v>
      </c>
      <c r="P143" s="11" t="s">
        <v>175</v>
      </c>
      <c r="Q143" s="21" t="str">
        <f>HYPERLINK("obsidian://open?vault=o2&amp;file=Paul%20D%20Directory%20Template.md","Paul D Directory Template")</f>
        <v>Paul D Directory Template</v>
      </c>
      <c r="R143" s="11" t="s">
        <v>175</v>
      </c>
      <c r="AR143" s="11">
        <f>SUBTOTAL(3,_xlfn.SINGLE(tbl_pros[RowId]))</f>
        <v>1</v>
      </c>
    </row>
    <row r="144" spans="10:44">
      <c r="J144" s="4">
        <v>134</v>
      </c>
      <c r="K144" s="20" t="s">
        <v>21</v>
      </c>
      <c r="L144" s="2" t="s">
        <v>424</v>
      </c>
      <c r="M144" s="4">
        <v>2</v>
      </c>
      <c r="N144" s="4" t="s">
        <v>425</v>
      </c>
      <c r="O144" s="21" t="str">
        <f>HYPERLINK("obsidian://open?vault=o2&amp;file=2025-02-11.md","2025-02-11")</f>
        <v>2025-02-11</v>
      </c>
      <c r="P144" s="11" t="s">
        <v>175</v>
      </c>
      <c r="Q144" s="21" t="str">
        <f>HYPERLINK("obsidian://open?vault=o2&amp;file=2025-03-14.md","2025-03-14")</f>
        <v>2025-03-14</v>
      </c>
      <c r="R144" s="11" t="s">
        <v>175</v>
      </c>
      <c r="AR144" s="11">
        <f>SUBTOTAL(3,_xlfn.SINGLE(tbl_pros[RowId]))</f>
        <v>1</v>
      </c>
    </row>
    <row r="145" spans="10:44">
      <c r="J145" s="4">
        <v>135</v>
      </c>
      <c r="K145" s="20" t="s">
        <v>21</v>
      </c>
      <c r="L145" s="2" t="s">
        <v>426</v>
      </c>
      <c r="M145" s="4">
        <v>38</v>
      </c>
      <c r="N145" s="4" t="s">
        <v>427</v>
      </c>
      <c r="O145" s="21" t="str">
        <f>HYPERLINK("obsidian://open?vault=o2&amp;file=2025-04-03.md","2025-04-03")</f>
        <v>2025-04-03</v>
      </c>
      <c r="P145" s="11" t="s">
        <v>175</v>
      </c>
      <c r="Q145" s="21" t="str">
        <f>HYPERLINK("obsidian://open?vault=o2&amp;file=%E2%9A%93%20My%20Areas.md","⚓ My Areas")</f>
        <v>⚓ My Areas</v>
      </c>
      <c r="R145" s="11" t="s">
        <v>175</v>
      </c>
      <c r="S145" s="21" t="str">
        <f>HYPERLINK("obsidian://open?vault=o2&amp;file=%F0%9F%A6%8B%20My%20Resources.md","🦋 My Resources")</f>
        <v>🦋 My Resources</v>
      </c>
      <c r="T145" s="11" t="s">
        <v>175</v>
      </c>
      <c r="U145" s="21" t="str">
        <f>HYPERLINK("obsidian://open?vault=o2&amp;file=%F0%9F%A6%8B%20Home.md","🦋 Home")</f>
        <v>🦋 Home</v>
      </c>
      <c r="V145" s="11" t="s">
        <v>175</v>
      </c>
      <c r="W145" s="21" t="str">
        <f>HYPERLINK("obsidian://open?vault=o2&amp;file=2025-02-25.md","2025-02-25")</f>
        <v>2025-02-25</v>
      </c>
      <c r="X145" s="11" t="s">
        <v>175</v>
      </c>
      <c r="Y145" s="21" t="str">
        <f>HYPERLINK("obsidian://open?vault=o2&amp;file=2025-02-26.md","2025-02-26")</f>
        <v>2025-02-26</v>
      </c>
      <c r="Z145" s="11" t="s">
        <v>175</v>
      </c>
      <c r="AA145" s="21" t="str">
        <f>HYPERLINK("obsidian://open?vault=o2&amp;file=2025-02-27.md","2025-02-27")</f>
        <v>2025-02-27</v>
      </c>
      <c r="AB145" s="11" t="s">
        <v>175</v>
      </c>
      <c r="AC145" s="21" t="str">
        <f>HYPERLINK("obsidian://open?vault=o2&amp;file=2025-03-01.md","2025-03-01")</f>
        <v>2025-03-01</v>
      </c>
      <c r="AD145" s="11" t="s">
        <v>175</v>
      </c>
      <c r="AE145" s="21" t="str">
        <f>HYPERLINK("obsidian://open?vault=o2&amp;file=2025-03-02.md","2025-03-02")</f>
        <v>2025-03-02</v>
      </c>
      <c r="AF145" s="11" t="s">
        <v>175</v>
      </c>
      <c r="AG145" s="21" t="str">
        <f>HYPERLINK("obsidian://open?vault=o2&amp;file=2025-03-03.md","2025-03-03")</f>
        <v>2025-03-03</v>
      </c>
      <c r="AH145" s="11" t="s">
        <v>175</v>
      </c>
      <c r="AI145" s="21" t="str">
        <f>HYPERLINK("obsidian://open?vault=o2&amp;file=2025-03-05.md","2025-03-05")</f>
        <v>2025-03-05</v>
      </c>
      <c r="AJ145" s="11" t="s">
        <v>175</v>
      </c>
      <c r="AK145" s="21" t="str">
        <f>HYPERLINK("obsidian://open?vault=o2&amp;file=2025-03-08.md","2025-03-08")</f>
        <v>2025-03-08</v>
      </c>
      <c r="AL145" s="11" t="s">
        <v>175</v>
      </c>
      <c r="AM145" s="21" t="str">
        <f>HYPERLINK("obsidian://open?vault=o2&amp;file=2025-03-09.md","2025-03-09")</f>
        <v>2025-03-09</v>
      </c>
      <c r="AN145" s="11" t="s">
        <v>175</v>
      </c>
      <c r="AO145" s="21" t="str">
        <f>HYPERLINK("obsidian://open?vault=o2&amp;file=2025-03-10.md","2025-03-10")</f>
        <v>2025-03-10</v>
      </c>
      <c r="AP145" s="11" t="s">
        <v>175</v>
      </c>
      <c r="AQ145" s="21" t="str">
        <f>HYPERLINK("obsidian://open?vault=o2&amp;file=2025-03-11.md","2025-03-11")</f>
        <v>2025-03-11</v>
      </c>
      <c r="AR145" s="11">
        <f>SUBTOTAL(3,_xlfn.SINGLE(tbl_pros[RowId]))</f>
        <v>1</v>
      </c>
    </row>
    <row r="146" spans="10:44">
      <c r="J146" s="4">
        <v>136</v>
      </c>
      <c r="K146" s="20" t="s">
        <v>23</v>
      </c>
      <c r="L146" s="2" t="s">
        <v>420</v>
      </c>
      <c r="M146" s="4">
        <v>30</v>
      </c>
      <c r="N146" s="4" t="s">
        <v>428</v>
      </c>
      <c r="O146" s="21" t="str">
        <f>HYPERLINK("obsidian://open?vault=o2&amp;file=1-Projects.md","1-Projects")</f>
        <v>1-Projects</v>
      </c>
      <c r="P146" s="11" t="s">
        <v>175</v>
      </c>
      <c r="Q146" s="21" t="str">
        <f>HYPERLINK("obsidian://open?vault=o2&amp;file=%E2%9A%A1%20Learn%20Python%20and%20OOP%20Project.md","⚡ Learn Python and OOP Project")</f>
        <v>⚡ Learn Python and OOP Project</v>
      </c>
      <c r="R146" s="11" t="s">
        <v>175</v>
      </c>
      <c r="S146" s="21" t="str">
        <f>HYPERLINK("obsidian://open?vault=o2&amp;file=%E2%9A%93%20AA%20Recovery.md","⚓ AA Recovery")</f>
        <v>⚓ AA Recovery</v>
      </c>
      <c r="T146" s="11" t="s">
        <v>175</v>
      </c>
      <c r="U146" s="21" t="str">
        <f>HYPERLINK("obsidian://open?vault=o2&amp;file=%E2%9A%93%20CWS.md","⚓ CWS")</f>
        <v>⚓ CWS</v>
      </c>
      <c r="V146" s="11" t="s">
        <v>175</v>
      </c>
      <c r="W146" s="21" t="str">
        <f>HYPERLINK("obsidian://open?vault=o2&amp;file=%E2%9A%93%20Family.md","⚓ Family")</f>
        <v>⚓ Family</v>
      </c>
      <c r="X146" s="11" t="s">
        <v>175</v>
      </c>
      <c r="Y146" s="21" t="str">
        <f>HYPERLINK("obsidian://open?vault=o2&amp;file=%E2%9A%93%20Finances.md","⚓ Finances")</f>
        <v>⚓ Finances</v>
      </c>
      <c r="Z146" s="11" t="s">
        <v>175</v>
      </c>
      <c r="AA146" s="21" t="str">
        <f>HYPERLINK("obsidian://open?vault=o2&amp;file=%E2%9A%93%20Health.md","⚓ Health")</f>
        <v>⚓ Health</v>
      </c>
      <c r="AB146" s="11" t="s">
        <v>175</v>
      </c>
      <c r="AC146" s="21" t="str">
        <f>HYPERLINK("obsidian://open?vault=o2&amp;file=3-Resources.md","3-Resources")</f>
        <v>3-Resources</v>
      </c>
      <c r="AD146" s="11" t="s">
        <v>175</v>
      </c>
      <c r="AE146" s="21" t="str">
        <f>HYPERLINK("obsidian://open?vault=o2&amp;file=%F0%9F%A6%8B%20Art.md","🦋 Art")</f>
        <v>🦋 Art</v>
      </c>
      <c r="AF146" s="11" t="s">
        <v>175</v>
      </c>
      <c r="AG146" s="21" t="str">
        <f>HYPERLINK("obsidian://open?vault=o2&amp;file=%F0%9F%A6%8B%20Astronomy.md","🦋 Astronomy")</f>
        <v>🦋 Astronomy</v>
      </c>
      <c r="AH146" s="11" t="s">
        <v>175</v>
      </c>
      <c r="AI146" s="21" t="str">
        <f>HYPERLINK("obsidian://open?vault=o2&amp;file=%F0%9F%A6%8B%20Brain2.md","🦋 Brain2")</f>
        <v>🦋 Brain2</v>
      </c>
      <c r="AJ146" s="11" t="s">
        <v>175</v>
      </c>
      <c r="AK146" s="21" t="str">
        <f>HYPERLINK("obsidian://open?vault=o2&amp;file=%F0%9F%A6%8B%20Cheatsheets.md","🦋 Cheatsheets")</f>
        <v>🦋 Cheatsheets</v>
      </c>
      <c r="AL146" s="11" t="s">
        <v>175</v>
      </c>
      <c r="AM146" s="21" t="str">
        <f>HYPERLINK("obsidian://open?vault=o2&amp;file=%F0%9F%A6%8B%20Coding.md","🦋 Coding")</f>
        <v>🦋 Coding</v>
      </c>
      <c r="AN146" s="11" t="s">
        <v>175</v>
      </c>
      <c r="AO146" s="21" t="str">
        <f>HYPERLINK("obsidian://open?vault=o2&amp;file=%F0%9F%A6%8B%20Computers.md","🦋 Computers")</f>
        <v>🦋 Computers</v>
      </c>
      <c r="AP146" s="11" t="s">
        <v>175</v>
      </c>
      <c r="AQ146" s="21" t="str">
        <f>HYPERLINK("obsidian://open?vault=o2&amp;file=%F0%9F%A6%8B%20Cooking.md","🦋 Cooking")</f>
        <v>🦋 Cooking</v>
      </c>
      <c r="AR146" s="11">
        <f>SUBTOTAL(3,_xlfn.SINGLE(tbl_pros[RowId]))</f>
        <v>1</v>
      </c>
    </row>
    <row r="147" spans="10:44">
      <c r="J147" s="4">
        <v>137</v>
      </c>
      <c r="K147" s="20" t="s">
        <v>23</v>
      </c>
      <c r="L147" s="2" t="s">
        <v>429</v>
      </c>
      <c r="M147" s="4">
        <v>1</v>
      </c>
      <c r="N147" s="4" t="s">
        <v>430</v>
      </c>
      <c r="O147" s="21" t="str">
        <f>HYPERLINK("obsidian://open?vault=o2&amp;file=%E2%9A%A1%20My%20Projects.md","⚡ My Projects")</f>
        <v>⚡ My Projects</v>
      </c>
      <c r="P147" s="11" t="s">
        <v>175</v>
      </c>
      <c r="AR147" s="11">
        <f>SUBTOTAL(3,_xlfn.SINGLE(tbl_pros[RowId]))</f>
        <v>1</v>
      </c>
    </row>
    <row r="148" spans="10:44">
      <c r="J148" s="4">
        <v>138</v>
      </c>
      <c r="K148" s="20" t="s">
        <v>23</v>
      </c>
      <c r="L148" s="2" t="s">
        <v>426</v>
      </c>
      <c r="M148" s="4">
        <v>25</v>
      </c>
      <c r="N148" s="4" t="s">
        <v>431</v>
      </c>
      <c r="O148" s="21" t="str">
        <f>HYPERLINK("obsidian://open?vault=o2&amp;file=Notes%20on%20Python%20Class%20Objects.md","Notes on Python Class Objects")</f>
        <v>Notes on Python Class Objects</v>
      </c>
      <c r="P148" s="11" t="s">
        <v>175</v>
      </c>
      <c r="Q148" s="21" t="str">
        <f>HYPERLINK("obsidian://open?vault=o2&amp;file=%E2%9A%A1%20Learn%20Python%20and%20OOP%20Project.md","⚡ Learn Python and OOP Project")</f>
        <v>⚡ Learn Python and OOP Project</v>
      </c>
      <c r="R148" s="11" t="s">
        <v>175</v>
      </c>
      <c r="S148" s="21" t="str">
        <f>HYPERLINK("obsidian://open?vault=o2&amp;file=%E2%9A%93%20AA%20Recovery.md","⚓ AA Recovery")</f>
        <v>⚓ AA Recovery</v>
      </c>
      <c r="T148" s="11" t="s">
        <v>175</v>
      </c>
      <c r="U148" s="21" t="str">
        <f>HYPERLINK("obsidian://open?vault=o2&amp;file=%E2%9A%93%20CWS.md","⚓ CWS")</f>
        <v>⚓ CWS</v>
      </c>
      <c r="V148" s="11" t="s">
        <v>175</v>
      </c>
      <c r="W148" s="21" t="str">
        <f>HYPERLINK("obsidian://open?vault=o2&amp;file=%E2%9A%93%20Family.md","⚓ Family")</f>
        <v>⚓ Family</v>
      </c>
      <c r="X148" s="11" t="s">
        <v>175</v>
      </c>
      <c r="Y148" s="21" t="str">
        <f>HYPERLINK("obsidian://open?vault=o2&amp;file=%E2%9A%93%20Finances.md","⚓ Finances")</f>
        <v>⚓ Finances</v>
      </c>
      <c r="Z148" s="11" t="s">
        <v>175</v>
      </c>
      <c r="AA148" s="21" t="str">
        <f>HYPERLINK("obsidian://open?vault=o2&amp;file=%E2%9A%93%20Health.md","⚓ Health")</f>
        <v>⚓ Health</v>
      </c>
      <c r="AB148" s="11" t="s">
        <v>175</v>
      </c>
      <c r="AC148" s="21" t="str">
        <f>HYPERLINK("obsidian://open?vault=o2&amp;file=%F0%9F%A6%8B%20Art.md","🦋 Art")</f>
        <v>🦋 Art</v>
      </c>
      <c r="AD148" s="11" t="s">
        <v>175</v>
      </c>
      <c r="AE148" s="21" t="str">
        <f>HYPERLINK("obsidian://open?vault=o2&amp;file=%F0%9F%A6%8B%20Astronomy.md","🦋 Astronomy")</f>
        <v>🦋 Astronomy</v>
      </c>
      <c r="AF148" s="11" t="s">
        <v>175</v>
      </c>
      <c r="AG148" s="21" t="str">
        <f>HYPERLINK("obsidian://open?vault=o2&amp;file=%F0%9F%A6%8B%20Brain2.md","🦋 Brain2")</f>
        <v>🦋 Brain2</v>
      </c>
      <c r="AH148" s="11" t="s">
        <v>175</v>
      </c>
      <c r="AI148" s="21" t="str">
        <f>HYPERLINK("obsidian://open?vault=o2&amp;file=%F0%9F%A6%8B%20Cheatsheets.md","🦋 Cheatsheets")</f>
        <v>🦋 Cheatsheets</v>
      </c>
      <c r="AJ148" s="11" t="s">
        <v>175</v>
      </c>
      <c r="AK148" s="21" t="str">
        <f>HYPERLINK("obsidian://open?vault=o2&amp;file=%F0%9F%A6%8B%20Coding.md","🦋 Coding")</f>
        <v>🦋 Coding</v>
      </c>
      <c r="AL148" s="11" t="s">
        <v>175</v>
      </c>
      <c r="AM148" s="21" t="str">
        <f>HYPERLINK("obsidian://open?vault=o2&amp;file=%F0%9F%A6%8B%20Computers.md","🦋 Computers")</f>
        <v>🦋 Computers</v>
      </c>
      <c r="AN148" s="11" t="s">
        <v>175</v>
      </c>
      <c r="AO148" s="21" t="str">
        <f>HYPERLINK("obsidian://open?vault=o2&amp;file=%F0%9F%A6%8B%20Cooking.md","🦋 Cooking")</f>
        <v>🦋 Cooking</v>
      </c>
      <c r="AP148" s="11" t="s">
        <v>175</v>
      </c>
      <c r="AQ148" s="21" t="str">
        <f>HYPERLINK("obsidian://open?vault=o2&amp;file=%F0%9F%A6%8B%20Design.md","🦋 Design")</f>
        <v>🦋 Design</v>
      </c>
      <c r="AR148" s="11">
        <f>SUBTOTAL(3,_xlfn.SINGLE(tbl_pros[RowId]))</f>
        <v>1</v>
      </c>
    </row>
    <row r="149" spans="10:44">
      <c r="J149" s="4">
        <v>139</v>
      </c>
      <c r="K149" s="20" t="s">
        <v>25</v>
      </c>
      <c r="L149" s="2" t="s">
        <v>432</v>
      </c>
      <c r="M149" s="4">
        <v>1</v>
      </c>
      <c r="N149" s="4" t="s">
        <v>433</v>
      </c>
      <c r="O149" s="21" t="str">
        <f>HYPERLINK("obsidian://open?vault=o2&amp;file=Sex%20on%20the%20Beach.md","Sex on the Beach")</f>
        <v>Sex on the Beach</v>
      </c>
      <c r="P149" s="11" t="s">
        <v>175</v>
      </c>
      <c r="AR149" s="11">
        <f>SUBTOTAL(3,_xlfn.SINGLE(tbl_pros[RowId]))</f>
        <v>1</v>
      </c>
    </row>
    <row r="150" spans="10:44">
      <c r="J150" s="4">
        <v>140</v>
      </c>
      <c r="K150" s="20" t="s">
        <v>27</v>
      </c>
      <c r="L150" s="22">
        <v>44373</v>
      </c>
      <c r="M150" s="4">
        <v>7</v>
      </c>
      <c r="N150" s="4" t="s">
        <v>434</v>
      </c>
      <c r="O150" s="21" t="str">
        <f>HYPERLINK("obsidian://open?vault=o2&amp;file=Hotkey%20ShortList%20by%20Assigned%20Hotkey.md","Hotkey ShortList by Assigned Hotkey")</f>
        <v>Hotkey ShortList by Assigned Hotkey</v>
      </c>
      <c r="P150" s="11" t="s">
        <v>175</v>
      </c>
      <c r="Q150" s="21" t="str">
        <f>HYPERLINK("obsidian://open?vault=o2&amp;file=Hotkey%20ShortList%20by%20Command%20Name.md","Hotkey ShortList by Command Name")</f>
        <v>Hotkey ShortList by Command Name</v>
      </c>
      <c r="R150" s="11" t="s">
        <v>175</v>
      </c>
      <c r="S150" s="21" t="str">
        <f>HYPERLINK("obsidian://open?vault=o2&amp;file=Hotkey%20ShortList%20by%20CommandID.md","Hotkey ShortList by CommandID")</f>
        <v>Hotkey ShortList by CommandID</v>
      </c>
      <c r="T150" s="11" t="s">
        <v>175</v>
      </c>
      <c r="U150" s="21" t="str">
        <f>HYPERLINK("obsidian://open?vault=o2&amp;file=Hotkeys%20by%20Assigned%20Hotkey.md","Hotkeys by Assigned Hotkey")</f>
        <v>Hotkeys by Assigned Hotkey</v>
      </c>
      <c r="V150" s="11" t="s">
        <v>175</v>
      </c>
      <c r="W150" s="21" t="str">
        <f>HYPERLINK("obsidian://open?vault=o2&amp;file=Hotkeys%20by%20Command%20Name.md","Hotkeys by Command Name")</f>
        <v>Hotkeys by Command Name</v>
      </c>
      <c r="X150" s="11" t="s">
        <v>175</v>
      </c>
      <c r="Y150" s="21" t="str">
        <f>HYPERLINK("obsidian://open?vault=o2&amp;file=Hotkeys%20by%20CommandID.md","Hotkeys by CommandID")</f>
        <v>Hotkeys by CommandID</v>
      </c>
      <c r="Z150" s="11" t="s">
        <v>175</v>
      </c>
      <c r="AA150" s="21" t="str">
        <f>HYPERLINK("obsidian://open?vault=o2&amp;file=Hotkeys%20Defined-Orig.md","Hotkeys Defined-Orig")</f>
        <v>Hotkeys Defined-Orig</v>
      </c>
      <c r="AB150" s="11" t="s">
        <v>175</v>
      </c>
      <c r="AR150" s="11">
        <f>SUBTOTAL(3,_xlfn.SINGLE(tbl_pros[RowId]))</f>
        <v>1</v>
      </c>
    </row>
    <row r="151" spans="10:44">
      <c r="J151" s="4">
        <v>141</v>
      </c>
      <c r="K151" s="20" t="s">
        <v>27</v>
      </c>
      <c r="L151" s="22">
        <v>45186</v>
      </c>
      <c r="M151" s="4">
        <v>1</v>
      </c>
      <c r="N151" s="4" t="s">
        <v>435</v>
      </c>
      <c r="O151" s="21" t="str">
        <f>HYPERLINK("obsidian://open?vault=o2&amp;file=Obsidian%20Hotkeys%20for%20Editing.md","Obsidian Hotkeys for Editing")</f>
        <v>Obsidian Hotkeys for Editing</v>
      </c>
      <c r="P151" s="11" t="s">
        <v>175</v>
      </c>
      <c r="AR151" s="11">
        <f>SUBTOTAL(3,_xlfn.SINGLE(tbl_pros[RowId]))</f>
        <v>1</v>
      </c>
    </row>
    <row r="152" spans="10:44">
      <c r="J152" s="4">
        <v>142</v>
      </c>
      <c r="K152" s="20" t="s">
        <v>29</v>
      </c>
      <c r="L152" s="22">
        <v>45503</v>
      </c>
      <c r="M152" s="4">
        <v>1</v>
      </c>
      <c r="N152" s="4" t="s">
        <v>436</v>
      </c>
      <c r="O152" s="21" t="str">
        <f>HYPERLINK("obsidian://open?vault=o2&amp;file=Obsidian%20Interface%20Menu%20-%20Cheat%20Sheet.md","Obsidian Interface Menu - Cheat Sheet")</f>
        <v>Obsidian Interface Menu - Cheat Sheet</v>
      </c>
      <c r="P152" s="11" t="s">
        <v>175</v>
      </c>
      <c r="AR152" s="11">
        <f>SUBTOTAL(3,_xlfn.SINGLE(tbl_pros[RowId]))</f>
        <v>1</v>
      </c>
    </row>
    <row r="153" spans="10:44">
      <c r="J153" s="4">
        <v>143</v>
      </c>
      <c r="K153" s="20" t="s">
        <v>31</v>
      </c>
      <c r="L153" s="22">
        <v>46022</v>
      </c>
      <c r="M153" s="4">
        <v>2</v>
      </c>
      <c r="N153" s="4" t="s">
        <v>437</v>
      </c>
      <c r="O153" s="21" t="str">
        <f>HYPERLINK("obsidian://open?vault=o2&amp;file=%E2%9A%A1%20Add%20Notebook%20Areas%20and%20Resources%20Project.md","⚡ Add Notebook Areas and Resources Project")</f>
        <v>⚡ Add Notebook Areas and Resources Project</v>
      </c>
      <c r="P153" s="11" t="s">
        <v>175</v>
      </c>
      <c r="Q153" s="21" t="str">
        <f>HYPERLINK("obsidian://open?vault=o2&amp;file=%E2%9A%A1%20Setup%20Linode%20Server%20Project.md","⚡ Setup Linode Server Project")</f>
        <v>⚡ Setup Linode Server Project</v>
      </c>
      <c r="R153" s="11" t="s">
        <v>175</v>
      </c>
      <c r="AR153" s="11">
        <f>SUBTOTAL(3,_xlfn.SINGLE(tbl_pros[RowId]))</f>
        <v>1</v>
      </c>
    </row>
    <row r="154" spans="10:44">
      <c r="J154" s="4">
        <v>144</v>
      </c>
      <c r="K154" s="20" t="s">
        <v>31</v>
      </c>
      <c r="L154" s="2" t="s">
        <v>438</v>
      </c>
      <c r="M154" s="4">
        <v>1</v>
      </c>
      <c r="N154" s="4" t="s">
        <v>439</v>
      </c>
      <c r="O154" s="21" t="str">
        <f>HYPERLINK("obsidian://open?vault=o2&amp;file=%E2%9A%A1%20CasaOS%20Project.md","⚡ CasaOS Project")</f>
        <v>⚡ CasaOS Project</v>
      </c>
      <c r="P154" s="11" t="s">
        <v>175</v>
      </c>
      <c r="AR154" s="11">
        <f>SUBTOTAL(3,_xlfn.SINGLE(tbl_pros[RowId]))</f>
        <v>1</v>
      </c>
    </row>
    <row r="155" spans="10:44">
      <c r="J155" s="4">
        <v>145</v>
      </c>
      <c r="K155" s="20" t="s">
        <v>31</v>
      </c>
      <c r="L155" s="22">
        <v>45291</v>
      </c>
      <c r="M155" s="4">
        <v>1</v>
      </c>
      <c r="N155" s="4" t="s">
        <v>440</v>
      </c>
      <c r="O155" s="21" t="str">
        <f>HYPERLINK("obsidian://open?vault=o2&amp;file=%E2%9A%A1%20Cheatsheets%20Library.md","⚡ Cheatsheets Library")</f>
        <v>⚡ Cheatsheets Library</v>
      </c>
      <c r="P155" s="11" t="s">
        <v>175</v>
      </c>
      <c r="AR155" s="11">
        <f>SUBTOTAL(3,_xlfn.SINGLE(tbl_pros[RowId]))</f>
        <v>1</v>
      </c>
    </row>
    <row r="156" spans="10:44">
      <c r="J156" s="4">
        <v>146</v>
      </c>
      <c r="K156" s="20" t="s">
        <v>31</v>
      </c>
      <c r="L156" s="2" t="s">
        <v>441</v>
      </c>
      <c r="M156" s="4">
        <v>5</v>
      </c>
      <c r="N156" s="4" t="s">
        <v>442</v>
      </c>
      <c r="O156" s="21" t="str">
        <f>HYPERLINK("obsidian://open?vault=o2&amp;file=%E2%9A%A1%20Coding.md","⚡ Coding")</f>
        <v>⚡ Coding</v>
      </c>
      <c r="P156" s="11" t="s">
        <v>175</v>
      </c>
      <c r="Q156" s="21" t="str">
        <f>HYPERLINK("obsidian://open?vault=o2&amp;file=%E2%9A%A1%20Debug%20metaCatchall%20Project.md","⚡ Debug metaCatchall Project")</f>
        <v>⚡ Debug metaCatchall Project</v>
      </c>
      <c r="R156" s="11" t="s">
        <v>175</v>
      </c>
      <c r="S156" s="21" t="str">
        <f>HYPERLINK("obsidian://open?vault=o2&amp;file=%E2%9A%A1%20Image%20Categorization%20Project.md","⚡ Image Categorization Project")</f>
        <v>⚡ Image Categorization Project</v>
      </c>
      <c r="T156" s="11" t="s">
        <v>175</v>
      </c>
      <c r="U156" s="21" t="str">
        <f>HYPERLINK("obsidian://open?vault=o2&amp;file=%E2%9A%A1%20Learning%20Obsidian%20Project.md","⚡ Learning Obsidian Project")</f>
        <v>⚡ Learning Obsidian Project</v>
      </c>
      <c r="V156" s="11" t="s">
        <v>175</v>
      </c>
      <c r="W156" s="21" t="str">
        <f>HYPERLINK("obsidian://open?vault=o2&amp;file=%E2%9A%A1%20Rebuild%20PC%20Project.md","⚡ Rebuild PC Project")</f>
        <v>⚡ Rebuild PC Project</v>
      </c>
      <c r="X156" s="11" t="s">
        <v>175</v>
      </c>
      <c r="AR156" s="11">
        <f>SUBTOTAL(3,_xlfn.SINGLE(tbl_pros[RowId]))</f>
        <v>1</v>
      </c>
    </row>
    <row r="157" spans="10:44">
      <c r="J157" s="4">
        <v>147</v>
      </c>
      <c r="K157" s="20" t="s">
        <v>31</v>
      </c>
      <c r="L157" s="2" t="s">
        <v>443</v>
      </c>
      <c r="M157" s="4">
        <v>7</v>
      </c>
      <c r="N157" s="4" t="s">
        <v>444</v>
      </c>
      <c r="O157" s="21" t="str">
        <f>HYPERLINK("obsidian://open?vault=o2&amp;file=%E2%9A%A1%20Create%20a%20Recipe%20Cookbook.md","⚡ Create a Recipe Cookbook")</f>
        <v>⚡ Create a Recipe Cookbook</v>
      </c>
      <c r="P157" s="11" t="s">
        <v>175</v>
      </c>
      <c r="Q157" s="21" t="str">
        <f>HYPERLINK("obsidian://open?vault=o2&amp;file=%E2%9A%A1%20Home%20Project.md","⚡ Home Project")</f>
        <v>⚡ Home Project</v>
      </c>
      <c r="R157" s="11" t="s">
        <v>175</v>
      </c>
      <c r="S157" s="21" t="str">
        <f>HYPERLINK("obsidian://open?vault=o2&amp;file=%E2%9A%A1%20Learning%20iOS%20Project.md","⚡ Learning iOS Project")</f>
        <v>⚡ Learning iOS Project</v>
      </c>
      <c r="T157" s="11" t="s">
        <v>175</v>
      </c>
      <c r="U157" s="21" t="str">
        <f>HYPERLINK("obsidian://open?vault=o2&amp;file=%E2%9A%A1%20Media%20Project.md","⚡ Media Project")</f>
        <v>⚡ Media Project</v>
      </c>
      <c r="V157" s="11" t="s">
        <v>175</v>
      </c>
      <c r="W157" s="21" t="str">
        <f>HYPERLINK("obsidian://open?vault=o2&amp;file=%E2%9A%A1%20Money%20Management%20Project.md","⚡ Money Management Project")</f>
        <v>⚡ Money Management Project</v>
      </c>
      <c r="X157" s="11" t="s">
        <v>175</v>
      </c>
      <c r="Y157" s="21" t="str">
        <f>HYPERLINK("obsidian://open?vault=o2&amp;file=%E2%9A%A1%20Print%20On%20Demand%20Project.md","⚡ Print On Demand Project")</f>
        <v>⚡ Print On Demand Project</v>
      </c>
      <c r="Z157" s="11" t="s">
        <v>175</v>
      </c>
      <c r="AA157" s="21" t="str">
        <f>HYPERLINK("obsidian://open?vault=o2&amp;file=%E2%9A%A1%20Recovery%20Project.md","⚡ Recovery Project")</f>
        <v>⚡ Recovery Project</v>
      </c>
      <c r="AB157" s="11" t="s">
        <v>175</v>
      </c>
      <c r="AR157" s="11">
        <f>SUBTOTAL(3,_xlfn.SINGLE(tbl_pros[RowId]))</f>
        <v>1</v>
      </c>
    </row>
    <row r="158" spans="10:44">
      <c r="J158" s="4">
        <v>148</v>
      </c>
      <c r="K158" s="20" t="s">
        <v>31</v>
      </c>
      <c r="L158" s="2"/>
      <c r="M158" s="4">
        <v>2</v>
      </c>
      <c r="N158" s="4" t="s">
        <v>445</v>
      </c>
      <c r="O158" s="21" t="str">
        <f>HYPERLINK("obsidian://open?vault=o2&amp;file=%E2%9A%A1%20Learn%20Python%20and%20OOP%20Project.md","⚡ Learn Python and OOP Project")</f>
        <v>⚡ Learn Python and OOP Project</v>
      </c>
      <c r="P158" s="11" t="s">
        <v>175</v>
      </c>
      <c r="Q158" s="21" t="str">
        <f>HYPERLINK("obsidian://open?vault=o2&amp;file=Project%20Template.md","Project Template")</f>
        <v>Project Template</v>
      </c>
      <c r="R158" s="11" t="s">
        <v>175</v>
      </c>
      <c r="AR158" s="11">
        <f>SUBTOTAL(3,_xlfn.SINGLE(tbl_pros[RowId]))</f>
        <v>1</v>
      </c>
    </row>
    <row r="159" spans="10:44">
      <c r="J159" s="4">
        <v>149</v>
      </c>
      <c r="K159" s="20" t="s">
        <v>31</v>
      </c>
      <c r="L159" s="22">
        <v>45323</v>
      </c>
      <c r="M159" s="4">
        <v>1</v>
      </c>
      <c r="N159" s="4" t="s">
        <v>446</v>
      </c>
      <c r="O159" s="21" t="str">
        <f>HYPERLINK("obsidian://open?vault=o2&amp;file=%E2%9A%A1%20Office%20Desk%20Design%20Project.md","⚡ Office Desk Design Project")</f>
        <v>⚡ Office Desk Design Project</v>
      </c>
      <c r="P159" s="11" t="s">
        <v>175</v>
      </c>
      <c r="AR159" s="11">
        <f>SUBTOTAL(3,_xlfn.SINGLE(tbl_pros[RowId]))</f>
        <v>1</v>
      </c>
    </row>
    <row r="160" spans="10:44">
      <c r="J160" s="4">
        <v>150</v>
      </c>
      <c r="K160" s="20" t="s">
        <v>33</v>
      </c>
      <c r="L160" s="2" t="s">
        <v>447</v>
      </c>
      <c r="M160" s="4">
        <v>1</v>
      </c>
      <c r="N160" s="4" t="s">
        <v>448</v>
      </c>
      <c r="O160" s="21" t="str">
        <f>HYPERLINK("obsidian://open?vault=o2&amp;file=17%20Habits%20of%20the%20Self-Destructive%20Person%20%28%2B%20How%20to%20Stop%29.md","17 Habits of the Self-Destructive Person (+ How to Stop)")</f>
        <v>17 Habits of the Self-Destructive Person (+ How to Stop)</v>
      </c>
      <c r="P160" s="11" t="s">
        <v>175</v>
      </c>
      <c r="AR160" s="11">
        <f>SUBTOTAL(3,_xlfn.SINGLE(tbl_pros[RowId]))</f>
        <v>1</v>
      </c>
    </row>
    <row r="161" spans="10:44">
      <c r="J161" s="4">
        <v>151</v>
      </c>
      <c r="K161" s="20" t="s">
        <v>33</v>
      </c>
      <c r="L161" s="2" t="s">
        <v>449</v>
      </c>
      <c r="M161" s="4">
        <v>1</v>
      </c>
      <c r="N161" s="4" t="s">
        <v>450</v>
      </c>
      <c r="O161" s="21" t="str">
        <f>HYPERLINK("obsidian://open?vault=o2&amp;file=2022%E2%80%99s%20seismic%20shift%20in%20US%20tech%20policy%20will%20change%20how%20we%20innovate.md","2022’s seismic shift in US tech policy will change how we innovate")</f>
        <v>2022’s seismic shift in US tech policy will change how we innovate</v>
      </c>
      <c r="P161" s="11" t="s">
        <v>175</v>
      </c>
      <c r="AR161" s="11">
        <f>SUBTOTAL(3,_xlfn.SINGLE(tbl_pros[RowId]))</f>
        <v>1</v>
      </c>
    </row>
    <row r="162" spans="10:44">
      <c r="J162" s="4">
        <v>152</v>
      </c>
      <c r="K162" s="20" t="s">
        <v>33</v>
      </c>
      <c r="L162" s="2" t="s">
        <v>451</v>
      </c>
      <c r="M162" s="4">
        <v>1</v>
      </c>
      <c r="N162" s="4" t="s">
        <v>452</v>
      </c>
      <c r="O162" s="21" t="str">
        <f>HYPERLINK("obsidian://open?vault=o2&amp;file=6%20Best%20Cheap%20Web%20Hosting%20Services%20%28Current%20Deals%29.md","6 Best Cheap Web Hosting Services (Current Deals)")</f>
        <v>6 Best Cheap Web Hosting Services (Current Deals)</v>
      </c>
      <c r="P162" s="11" t="s">
        <v>175</v>
      </c>
      <c r="AR162" s="11">
        <f>SUBTOTAL(3,_xlfn.SINGLE(tbl_pros[RowId]))</f>
        <v>1</v>
      </c>
    </row>
    <row r="163" spans="10:44">
      <c r="J163" s="4">
        <v>153</v>
      </c>
      <c r="K163" s="20" t="s">
        <v>33</v>
      </c>
      <c r="L163" s="2"/>
      <c r="M163" s="4">
        <v>3</v>
      </c>
      <c r="N163" s="4" t="s">
        <v>453</v>
      </c>
      <c r="O163" s="21" t="str">
        <f>HYPERLINK("obsidian://open?vault=o2&amp;file=CategorySVG%20by%20subject%20-%20Wikimedia%20Commons.md","CategorySVG by subject - Wikimedia Commons")</f>
        <v>CategorySVG by subject - Wikimedia Commons</v>
      </c>
      <c r="P163" s="11" t="s">
        <v>175</v>
      </c>
      <c r="Q163" s="21" t="str">
        <f>HYPERLINK("obsidian://open?vault=o2&amp;file=CIA%20Wanted%20His%20Hotel%20as%20Bay%20of%20Pigs%20Haven%2C%20Moore%20Testifies.md","CIA Wanted His Hotel as Bay of Pigs Haven, Moore Testifies")</f>
        <v>CIA Wanted His Hotel as Bay of Pigs Haven, Moore Testifies</v>
      </c>
      <c r="R163" s="11" t="s">
        <v>175</v>
      </c>
      <c r="S163" s="21" t="str">
        <f>HYPERLINK("obsidian://open?vault=o2&amp;file=Hotel%20Parkerson%20%20OBX%20Connection%20Message%20Board.md","Hotel Parkerson  OBX Connection Message Board")</f>
        <v>Hotel Parkerson  OBX Connection Message Board</v>
      </c>
      <c r="T163" s="11" t="s">
        <v>175</v>
      </c>
      <c r="AR163" s="11">
        <f>SUBTOTAL(3,_xlfn.SINGLE(tbl_pros[RowId]))</f>
        <v>1</v>
      </c>
    </row>
    <row r="164" spans="10:44">
      <c r="J164" s="4">
        <v>154</v>
      </c>
      <c r="K164" s="20" t="s">
        <v>33</v>
      </c>
      <c r="L164" s="2" t="s">
        <v>454</v>
      </c>
      <c r="M164" s="4">
        <v>1</v>
      </c>
      <c r="N164" s="4" t="s">
        <v>455</v>
      </c>
      <c r="O164" s="21" t="str">
        <f>HYPERLINK("obsidian://open?vault=o2&amp;file=Haircut--Ring%20Lardner%20%281885-1933%29.md","Haircut--Ring Lardner (1885-1933)")</f>
        <v>Haircut--Ring Lardner (1885-1933)</v>
      </c>
      <c r="P164" s="11" t="s">
        <v>175</v>
      </c>
      <c r="AR164" s="11">
        <f>SUBTOTAL(3,_xlfn.SINGLE(tbl_pros[RowId]))</f>
        <v>1</v>
      </c>
    </row>
    <row r="165" spans="10:44">
      <c r="J165" s="4">
        <v>155</v>
      </c>
      <c r="K165" s="20" t="s">
        <v>33</v>
      </c>
      <c r="L165" s="2" t="s">
        <v>206</v>
      </c>
      <c r="M165" s="4">
        <v>1</v>
      </c>
      <c r="N165" s="4" t="s">
        <v>456</v>
      </c>
      <c r="O165" s="21" t="str">
        <f>HYPERLINK("obsidian://open?vault=o2&amp;file=How%20To%20Cook%20a%20Chicken%20Breast%20-%20FlavCity%20with%20Bobby%20Parrish.md","How To Cook a Chicken Breast - FlavCity with Bobby Parrish")</f>
        <v>How To Cook a Chicken Breast - FlavCity with Bobby Parrish</v>
      </c>
      <c r="P165" s="11" t="s">
        <v>175</v>
      </c>
      <c r="AR165" s="11">
        <f>SUBTOTAL(3,_xlfn.SINGLE(tbl_pros[RowId]))</f>
        <v>1</v>
      </c>
    </row>
    <row r="166" spans="10:44">
      <c r="J166" s="4">
        <v>156</v>
      </c>
      <c r="K166" s="20" t="s">
        <v>33</v>
      </c>
      <c r="L166" s="2" t="s">
        <v>457</v>
      </c>
      <c r="M166" s="4">
        <v>1</v>
      </c>
      <c r="N166" s="4" t="s">
        <v>458</v>
      </c>
      <c r="O166" s="21" t="str">
        <f>HYPERLINK("obsidian://open?vault=o2&amp;file=Learn%20Python%20in%20Y%20Minutes.md","Learn Python in Y Minutes")</f>
        <v>Learn Python in Y Minutes</v>
      </c>
      <c r="P166" s="11" t="s">
        <v>175</v>
      </c>
      <c r="AR166" s="11">
        <f>SUBTOTAL(3,_xlfn.SINGLE(tbl_pros[RowId]))</f>
        <v>1</v>
      </c>
    </row>
    <row r="167" spans="10:44">
      <c r="J167" s="4">
        <v>157</v>
      </c>
      <c r="K167" s="20" t="s">
        <v>33</v>
      </c>
      <c r="L167" s="2" t="s">
        <v>459</v>
      </c>
      <c r="M167" s="4">
        <v>1</v>
      </c>
      <c r="N167" s="4" t="s">
        <v>460</v>
      </c>
      <c r="O167" s="21" t="str">
        <f>HYPERLINK("obsidian://open?vault=o2&amp;file=Putting%20a%20HALT%20to%20our%20Self-Destructive%20Behaviors%20-%20Pine%20Rest%20Newsroom.md","Putting a HALT to our Self-Destructive Behaviors - Pine Rest Newsroom")</f>
        <v>Putting a HALT to our Self-Destructive Behaviors - Pine Rest Newsroom</v>
      </c>
      <c r="P167" s="11" t="s">
        <v>175</v>
      </c>
      <c r="AR167" s="11">
        <f>SUBTOTAL(3,_xlfn.SINGLE(tbl_pros[RowId]))</f>
        <v>1</v>
      </c>
    </row>
    <row r="168" spans="10:44">
      <c r="J168" s="4">
        <v>158</v>
      </c>
      <c r="K168" s="20" t="s">
        <v>33</v>
      </c>
      <c r="L168" s="2" t="s">
        <v>461</v>
      </c>
      <c r="M168" s="4">
        <v>1</v>
      </c>
      <c r="N168" s="4" t="s">
        <v>462</v>
      </c>
      <c r="O168" s="21" t="str">
        <f>HYPERLINK("obsidian://open?vault=o2&amp;file=rAutoHotkey%20-%20Unicode%20fractions.md","rAutoHotkey - Unicode fractions")</f>
        <v>rAutoHotkey - Unicode fractions</v>
      </c>
      <c r="P168" s="11" t="s">
        <v>175</v>
      </c>
      <c r="AR168" s="11">
        <f>SUBTOTAL(3,_xlfn.SINGLE(tbl_pros[RowId]))</f>
        <v>1</v>
      </c>
    </row>
    <row r="169" spans="10:44">
      <c r="J169" s="4">
        <v>159</v>
      </c>
      <c r="K169" s="20" t="s">
        <v>33</v>
      </c>
      <c r="L169" s="2" t="s">
        <v>463</v>
      </c>
      <c r="M169" s="4">
        <v>1</v>
      </c>
      <c r="N169" s="4" t="s">
        <v>464</v>
      </c>
      <c r="O169" s="21" t="str">
        <f>HYPERLINK("obsidian://open?vault=o2&amp;file=The%20Food%20Expiration%20Dates%20You%20Should%20Actually%20Follow.md","The Food Expiration Dates You Should Actually Follow")</f>
        <v>The Food Expiration Dates You Should Actually Follow</v>
      </c>
      <c r="P169" s="11" t="s">
        <v>175</v>
      </c>
      <c r="AR169" s="11">
        <f>SUBTOTAL(3,_xlfn.SINGLE(tbl_pros[RowId]))</f>
        <v>1</v>
      </c>
    </row>
    <row r="170" spans="10:44">
      <c r="J170" s="4">
        <v>160</v>
      </c>
      <c r="K170" s="20" t="s">
        <v>33</v>
      </c>
      <c r="L170" s="2" t="s">
        <v>465</v>
      </c>
      <c r="M170" s="4">
        <v>1</v>
      </c>
      <c r="N170" s="4" t="s">
        <v>466</v>
      </c>
      <c r="O170" s="21" t="str">
        <f>HYPERLINK("obsidian://open?vault=o2&amp;file=13%20Crucial%20Questions%20to%20Ask%20a%20Realtor%20When%20Selling.md","13 Crucial Questions to Ask a Realtor When Selling")</f>
        <v>13 Crucial Questions to Ask a Realtor When Selling</v>
      </c>
      <c r="P170" s="11" t="s">
        <v>175</v>
      </c>
      <c r="AR170" s="11">
        <f>SUBTOTAL(3,_xlfn.SINGLE(tbl_pros[RowId]))</f>
        <v>1</v>
      </c>
    </row>
    <row r="171" spans="10:44">
      <c r="J171" s="4">
        <v>161</v>
      </c>
      <c r="K171" s="20" t="s">
        <v>33</v>
      </c>
      <c r="L171" s="2" t="s">
        <v>467</v>
      </c>
      <c r="M171" s="4">
        <v>1</v>
      </c>
      <c r="N171" s="4" t="s">
        <v>468</v>
      </c>
      <c r="O171" s="21" t="str">
        <f>HYPERLINK("obsidian://open?vault=o2&amp;file=22%20FREE%20Windows%20Utilities%20EVERY%20User%20MUST%20Know%20About%21.md","22 FREE Windows Utilities EVERY User MUST Know About!")</f>
        <v>22 FREE Windows Utilities EVERY User MUST Know About!</v>
      </c>
      <c r="P171" s="11" t="s">
        <v>175</v>
      </c>
      <c r="AR171" s="11">
        <f>SUBTOTAL(3,_xlfn.SINGLE(tbl_pros[RowId]))</f>
        <v>1</v>
      </c>
    </row>
    <row r="172" spans="10:44">
      <c r="J172" s="4">
        <v>162</v>
      </c>
      <c r="K172" s="20" t="s">
        <v>33</v>
      </c>
      <c r="L172" s="2" t="s">
        <v>469</v>
      </c>
      <c r="M172" s="4">
        <v>1</v>
      </c>
      <c r="N172" s="4" t="s">
        <v>470</v>
      </c>
      <c r="O172"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P172" s="11" t="s">
        <v>175</v>
      </c>
      <c r="AR172" s="11">
        <f>SUBTOTAL(3,_xlfn.SINGLE(tbl_pros[RowId]))</f>
        <v>1</v>
      </c>
    </row>
    <row r="173" spans="10:44">
      <c r="J173" s="4">
        <v>163</v>
      </c>
      <c r="K173" s="20" t="s">
        <v>33</v>
      </c>
      <c r="L173" s="2" t="s">
        <v>471</v>
      </c>
      <c r="M173" s="4">
        <v>1</v>
      </c>
      <c r="N173" s="4" t="s">
        <v>472</v>
      </c>
      <c r="O173" s="21" t="str">
        <f>HYPERLINK("obsidian://open?vault=o2&amp;file=Amazon%E2%80%99s%20Satellite%20Internet%20Won%E2%80%99t%20Need%20a%20Giant%20Antenna.md","Amazon’s Satellite Internet Won’t Need a Giant Antenna")</f>
        <v>Amazon’s Satellite Internet Won’t Need a Giant Antenna</v>
      </c>
      <c r="P173" s="11" t="s">
        <v>175</v>
      </c>
      <c r="AR173" s="11">
        <f>SUBTOTAL(3,_xlfn.SINGLE(tbl_pros[RowId]))</f>
        <v>1</v>
      </c>
    </row>
    <row r="174" spans="10:44">
      <c r="J174" s="4">
        <v>164</v>
      </c>
      <c r="K174" s="20" t="s">
        <v>33</v>
      </c>
      <c r="L174" s="2" t="s">
        <v>473</v>
      </c>
      <c r="M174" s="4">
        <v>1</v>
      </c>
      <c r="N174" s="4" t="s">
        <v>474</v>
      </c>
      <c r="O174" s="21" t="str">
        <f>HYPERLINK("obsidian://open?vault=o2&amp;file=Do%20Yourself%20a%20Favor%20and%20Go%20Find%20a%20%E2%80%98Third%20Place%E2%80%99.md","Do Yourself a Favor and Go Find a ‘Third Place’")</f>
        <v>Do Yourself a Favor and Go Find a ‘Third Place’</v>
      </c>
      <c r="P174" s="11" t="s">
        <v>175</v>
      </c>
      <c r="AR174" s="11">
        <f>SUBTOTAL(3,_xlfn.SINGLE(tbl_pros[RowId]))</f>
        <v>1</v>
      </c>
    </row>
    <row r="175" spans="10:44">
      <c r="J175" s="4">
        <v>165</v>
      </c>
      <c r="K175" s="20" t="s">
        <v>33</v>
      </c>
      <c r="L175" s="2" t="s">
        <v>475</v>
      </c>
      <c r="M175" s="4">
        <v>2</v>
      </c>
      <c r="N175" s="4" t="s">
        <v>476</v>
      </c>
      <c r="O175"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P175" s="11" t="s">
        <v>175</v>
      </c>
      <c r="Q175"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R175" s="11" t="s">
        <v>175</v>
      </c>
      <c r="AR175" s="11">
        <f>SUBTOTAL(3,_xlfn.SINGLE(tbl_pros[RowId]))</f>
        <v>1</v>
      </c>
    </row>
    <row r="176" spans="10:44">
      <c r="J176" s="4">
        <v>166</v>
      </c>
      <c r="K176" s="20" t="s">
        <v>33</v>
      </c>
      <c r="L176" s="2" t="s">
        <v>477</v>
      </c>
      <c r="M176" s="4">
        <v>1</v>
      </c>
      <c r="N176" s="4" t="s">
        <v>478</v>
      </c>
      <c r="O176" s="21" t="str">
        <f>HYPERLINK("obsidian://open?vault=o2&amp;file=Forget%20ChatGPT-You%20will%20not%20regret%20using%20these%20AI%20tools%20in%202023-Part%202.md","Forget ChatGPT-You will not regret using these AI tools in 2023-Part 2")</f>
        <v>Forget ChatGPT-You will not regret using these AI tools in 2023-Part 2</v>
      </c>
      <c r="P176" s="11" t="s">
        <v>175</v>
      </c>
      <c r="AR176" s="11">
        <f>SUBTOTAL(3,_xlfn.SINGLE(tbl_pros[RowId]))</f>
        <v>1</v>
      </c>
    </row>
    <row r="177" spans="10:44">
      <c r="J177" s="4">
        <v>167</v>
      </c>
      <c r="K177" s="20" t="s">
        <v>33</v>
      </c>
      <c r="L177" s="2" t="s">
        <v>479</v>
      </c>
      <c r="M177" s="4">
        <v>1</v>
      </c>
      <c r="N177" s="4" t="s">
        <v>480</v>
      </c>
      <c r="O177"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P177" s="11" t="s">
        <v>175</v>
      </c>
      <c r="AR177" s="11">
        <f>SUBTOTAL(3,_xlfn.SINGLE(tbl_pros[RowId]))</f>
        <v>1</v>
      </c>
    </row>
    <row r="178" spans="10:44">
      <c r="J178" s="4">
        <v>168</v>
      </c>
      <c r="K178" s="20" t="s">
        <v>33</v>
      </c>
      <c r="L178" s="2" t="s">
        <v>481</v>
      </c>
      <c r="M178" s="4">
        <v>1</v>
      </c>
      <c r="N178" s="4" t="s">
        <v>482</v>
      </c>
      <c r="O178"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P178" s="11" t="s">
        <v>175</v>
      </c>
      <c r="AR178" s="11">
        <f>SUBTOTAL(3,_xlfn.SINGLE(tbl_pros[RowId]))</f>
        <v>1</v>
      </c>
    </row>
    <row r="179" spans="10:44">
      <c r="J179" s="4">
        <v>169</v>
      </c>
      <c r="K179" s="20" t="s">
        <v>33</v>
      </c>
      <c r="L179" s="2" t="s">
        <v>483</v>
      </c>
      <c r="M179" s="4">
        <v>1</v>
      </c>
      <c r="N179" s="4" t="s">
        <v>484</v>
      </c>
      <c r="O179" s="21" t="str">
        <f>HYPERLINK("obsidian://open?vault=o2&amp;file=How%20To%20Enable%20Always-On%20Display%20On%20iPhone%20With%20This%20iOS%20Trick.md","How To Enable Always-On Display On iPhone With This iOS Trick")</f>
        <v>How To Enable Always-On Display On iPhone With This iOS Trick</v>
      </c>
      <c r="P179" s="11" t="s">
        <v>175</v>
      </c>
      <c r="AR179" s="11">
        <f>SUBTOTAL(3,_xlfn.SINGLE(tbl_pros[RowId]))</f>
        <v>1</v>
      </c>
    </row>
    <row r="180" spans="10:44">
      <c r="J180" s="4">
        <v>170</v>
      </c>
      <c r="K180" s="20" t="s">
        <v>33</v>
      </c>
      <c r="L180" s="2" t="s">
        <v>485</v>
      </c>
      <c r="M180" s="4">
        <v>1</v>
      </c>
      <c r="N180" s="4" t="s">
        <v>486</v>
      </c>
      <c r="O180" s="21" t="str">
        <f>HYPERLINK("obsidian://open?vault=o2&amp;file=How%20to%20Make%20Changes%20to%20Multiple%20Files%20Using%20Python%20%20Envato%20Tuts%2B.md","How to Make Changes to Multiple Files Using Python  Envato Tuts+")</f>
        <v>How to Make Changes to Multiple Files Using Python  Envato Tuts+</v>
      </c>
      <c r="P180" s="11" t="s">
        <v>175</v>
      </c>
      <c r="AR180" s="11">
        <f>SUBTOTAL(3,_xlfn.SINGLE(tbl_pros[RowId]))</f>
        <v>1</v>
      </c>
    </row>
    <row r="181" spans="10:44">
      <c r="J181" s="4">
        <v>171</v>
      </c>
      <c r="K181" s="20" t="s">
        <v>33</v>
      </c>
      <c r="L181" s="2" t="s">
        <v>487</v>
      </c>
      <c r="M181" s="4">
        <v>1</v>
      </c>
      <c r="N181" s="4" t="s">
        <v>488</v>
      </c>
      <c r="O181" s="21" t="str">
        <f>HYPERLINK("obsidian://open?vault=o2&amp;file=Kurt%20Vonnegut%E2%80%99s%20Greatest%20Writing%20Advice.md","Kurt Vonnegut’s Greatest Writing Advice")</f>
        <v>Kurt Vonnegut’s Greatest Writing Advice</v>
      </c>
      <c r="P181" s="11" t="s">
        <v>175</v>
      </c>
      <c r="AR181" s="11">
        <f>SUBTOTAL(3,_xlfn.SINGLE(tbl_pros[RowId]))</f>
        <v>1</v>
      </c>
    </row>
    <row r="182" spans="10:44">
      <c r="J182" s="4">
        <v>172</v>
      </c>
      <c r="K182" s="20" t="s">
        <v>33</v>
      </c>
      <c r="L182" s="2" t="s">
        <v>489</v>
      </c>
      <c r="M182" s="4">
        <v>1</v>
      </c>
      <c r="N182" s="4" t="s">
        <v>490</v>
      </c>
      <c r="O182" s="21" t="str">
        <f>HYPERLINK("obsidian://open?vault=o2&amp;file=Python%20Style%20Guide.md","Python Style Guide")</f>
        <v>Python Style Guide</v>
      </c>
      <c r="P182" s="11" t="s">
        <v>175</v>
      </c>
      <c r="AR182" s="11">
        <f>SUBTOTAL(3,_xlfn.SINGLE(tbl_pros[RowId]))</f>
        <v>1</v>
      </c>
    </row>
    <row r="183" spans="10:44">
      <c r="J183" s="4">
        <v>173</v>
      </c>
      <c r="K183" s="20" t="s">
        <v>33</v>
      </c>
      <c r="L183" s="2" t="s">
        <v>491</v>
      </c>
      <c r="M183" s="4">
        <v>1</v>
      </c>
      <c r="N183" s="4" t="s">
        <v>492</v>
      </c>
      <c r="O183" s="21" t="str">
        <f>HYPERLINK("obsidian://open?vault=o2&amp;file=Random%20packages%20from%20Walmart.md","Random packages from Walmart")</f>
        <v>Random packages from Walmart</v>
      </c>
      <c r="P183" s="11" t="s">
        <v>175</v>
      </c>
      <c r="AR183" s="11">
        <f>SUBTOTAL(3,_xlfn.SINGLE(tbl_pros[RowId]))</f>
        <v>1</v>
      </c>
    </row>
    <row r="184" spans="10:44">
      <c r="J184" s="4">
        <v>174</v>
      </c>
      <c r="K184" s="20" t="s">
        <v>33</v>
      </c>
      <c r="L184" s="2" t="s">
        <v>493</v>
      </c>
      <c r="M184" s="4">
        <v>1</v>
      </c>
      <c r="N184" s="4" t="s">
        <v>494</v>
      </c>
      <c r="O184" s="21" t="str">
        <f>HYPERLINK("obsidian://open?vault=o2&amp;file=Relaxation%20Techniques.md","Relaxation Techniques")</f>
        <v>Relaxation Techniques</v>
      </c>
      <c r="P184" s="11" t="s">
        <v>175</v>
      </c>
      <c r="AR184" s="11">
        <f>SUBTOTAL(3,_xlfn.SINGLE(tbl_pros[RowId]))</f>
        <v>1</v>
      </c>
    </row>
    <row r="185" spans="10:44">
      <c r="J185" s="4">
        <v>175</v>
      </c>
      <c r="K185" s="20" t="s">
        <v>33</v>
      </c>
      <c r="L185" s="2" t="s">
        <v>495</v>
      </c>
      <c r="M185" s="4">
        <v>1</v>
      </c>
      <c r="N185" s="4" t="s">
        <v>496</v>
      </c>
      <c r="O185" s="21" t="str">
        <f>HYPERLINK("obsidian://open?vault=o2&amp;file=The%20Growing%20Link%20Between%20Microbes%2C%20Mood%20and%20Mental%20Health.md","The Growing Link Between Microbes, Mood and Mental Health")</f>
        <v>The Growing Link Between Microbes, Mood and Mental Health</v>
      </c>
      <c r="P185" s="11" t="s">
        <v>175</v>
      </c>
      <c r="AR185" s="11">
        <f>SUBTOTAL(3,_xlfn.SINGLE(tbl_pros[RowId]))</f>
        <v>1</v>
      </c>
    </row>
    <row r="186" spans="10:44">
      <c r="J186" s="4">
        <v>176</v>
      </c>
      <c r="K186" s="20" t="s">
        <v>33</v>
      </c>
      <c r="L186" s="2" t="s">
        <v>497</v>
      </c>
      <c r="M186" s="4">
        <v>1</v>
      </c>
      <c r="N186" s="4" t="s">
        <v>498</v>
      </c>
      <c r="O186" s="21" t="str">
        <f>HYPERLINK("obsidian://open?vault=o2&amp;file=What%20is%20Thread%20and%20how%20will%20it%20help%20your%20smart%20home.md","What is Thread and how will it help your smart home")</f>
        <v>What is Thread and how will it help your smart home</v>
      </c>
      <c r="P186" s="11" t="s">
        <v>175</v>
      </c>
      <c r="AR186" s="11">
        <f>SUBTOTAL(3,_xlfn.SINGLE(tbl_pros[RowId]))</f>
        <v>1</v>
      </c>
    </row>
    <row r="187" spans="10:44">
      <c r="J187" s="4">
        <v>177</v>
      </c>
      <c r="K187" s="20" t="s">
        <v>33</v>
      </c>
      <c r="L187" s="2" t="s">
        <v>499</v>
      </c>
      <c r="M187" s="4">
        <v>1</v>
      </c>
      <c r="N187" s="4" t="s">
        <v>500</v>
      </c>
      <c r="O187" s="21" t="str">
        <f>HYPERLINK("obsidian://open?vault=o2&amp;file=How%20to%20Create%20So%20Much%20They%20Can%E2%80%99t%20Ignore%20You.md","How to Create So Much They Can’t Ignore You")</f>
        <v>How to Create So Much They Can’t Ignore You</v>
      </c>
      <c r="P187" s="11" t="s">
        <v>175</v>
      </c>
      <c r="AR187" s="11">
        <f>SUBTOTAL(3,_xlfn.SINGLE(tbl_pros[RowId]))</f>
        <v>1</v>
      </c>
    </row>
    <row r="188" spans="10:44">
      <c r="J188" s="4">
        <v>178</v>
      </c>
      <c r="K188" s="20" t="s">
        <v>35</v>
      </c>
      <c r="L188" s="22">
        <v>45750</v>
      </c>
      <c r="M188" s="4">
        <v>1</v>
      </c>
      <c r="N188" s="4" t="s">
        <v>501</v>
      </c>
      <c r="O188" s="21" t="str">
        <f>HYPERLINK("obsidian://open?vault=o2&amp;file=2025-04-03.md","2025-04-03")</f>
        <v>2025-04-03</v>
      </c>
      <c r="P188" s="11" t="s">
        <v>175</v>
      </c>
      <c r="AR188" s="11">
        <f>SUBTOTAL(3,_xlfn.SINGLE(tbl_pros[RowId]))</f>
        <v>1</v>
      </c>
    </row>
    <row r="189" spans="10:44">
      <c r="J189" s="4">
        <v>179</v>
      </c>
      <c r="K189" s="20" t="s">
        <v>35</v>
      </c>
      <c r="L189" s="22">
        <v>45649</v>
      </c>
      <c r="M189" s="4">
        <v>2</v>
      </c>
      <c r="N189" s="4" t="s">
        <v>502</v>
      </c>
      <c r="O189" s="21" t="str">
        <f>HYPERLINK("obsidian://open?vault=o2&amp;file=gEventTest.md","gEventTest")</f>
        <v>gEventTest</v>
      </c>
      <c r="P189" s="11" t="s">
        <v>175</v>
      </c>
      <c r="Q189" s="21" t="str">
        <f>HYPERLINK("obsidian://open?vault=o2&amp;file=2024-12-23.md","2024-12-23")</f>
        <v>2024-12-23</v>
      </c>
      <c r="R189" s="11" t="s">
        <v>175</v>
      </c>
      <c r="AR189" s="11">
        <f>SUBTOTAL(3,_xlfn.SINGLE(tbl_pros[RowId]))</f>
        <v>1</v>
      </c>
    </row>
    <row r="190" spans="10:44">
      <c r="J190" s="4">
        <v>180</v>
      </c>
      <c r="K190" s="20" t="s">
        <v>35</v>
      </c>
      <c r="L190" s="2" t="s">
        <v>503</v>
      </c>
      <c r="M190" s="4">
        <v>1</v>
      </c>
      <c r="N190" s="4" t="s">
        <v>504</v>
      </c>
      <c r="O190" s="21" t="str">
        <f>HYPERLINK("obsidian://open?vault=o2&amp;file=Open%20Task%20Review.md","Open Task Review")</f>
        <v>Open Task Review</v>
      </c>
      <c r="P190" s="11" t="s">
        <v>175</v>
      </c>
      <c r="AR190" s="11">
        <f>SUBTOTAL(3,_xlfn.SINGLE(tbl_pros[RowId]))</f>
        <v>1</v>
      </c>
    </row>
    <row r="191" spans="10:44">
      <c r="J191" s="4">
        <v>181</v>
      </c>
      <c r="K191" s="20" t="s">
        <v>35</v>
      </c>
      <c r="L191" s="22">
        <v>45688</v>
      </c>
      <c r="M191" s="4">
        <v>1</v>
      </c>
      <c r="N191" s="4" t="s">
        <v>505</v>
      </c>
      <c r="O191" s="21" t="str">
        <f>HYPERLINK("obsidian://open?vault=o2&amp;file=2025-01-31.md","2025-01-31")</f>
        <v>2025-01-31</v>
      </c>
      <c r="P191" s="11" t="s">
        <v>175</v>
      </c>
      <c r="AR191" s="11">
        <f>SUBTOTAL(3,_xlfn.SINGLE(tbl_pros[RowId]))</f>
        <v>1</v>
      </c>
    </row>
    <row r="192" spans="10:44">
      <c r="J192" s="4">
        <v>182</v>
      </c>
      <c r="K192" s="20" t="s">
        <v>35</v>
      </c>
      <c r="L192" s="22">
        <v>45692</v>
      </c>
      <c r="M192" s="4">
        <v>1</v>
      </c>
      <c r="N192" s="4" t="s">
        <v>506</v>
      </c>
      <c r="O192" s="21" t="str">
        <f>HYPERLINK("obsidian://open?vault=o2&amp;file=2025-02-04.md","2025-02-04")</f>
        <v>2025-02-04</v>
      </c>
      <c r="P192" s="11" t="s">
        <v>175</v>
      </c>
      <c r="AR192" s="11">
        <f>SUBTOTAL(3,_xlfn.SINGLE(tbl_pros[RowId]))</f>
        <v>1</v>
      </c>
    </row>
    <row r="193" spans="10:44">
      <c r="J193" s="4">
        <v>183</v>
      </c>
      <c r="K193" s="20" t="s">
        <v>35</v>
      </c>
      <c r="L193" s="22">
        <v>45693</v>
      </c>
      <c r="M193" s="4">
        <v>1</v>
      </c>
      <c r="N193" s="4" t="s">
        <v>507</v>
      </c>
      <c r="O193" s="21" t="str">
        <f>HYPERLINK("obsidian://open?vault=o2&amp;file=2025-02-05.md","2025-02-05")</f>
        <v>2025-02-05</v>
      </c>
      <c r="P193" s="11" t="s">
        <v>175</v>
      </c>
      <c r="AR193" s="11">
        <f>SUBTOTAL(3,_xlfn.SINGLE(tbl_pros[RowId]))</f>
        <v>1</v>
      </c>
    </row>
    <row r="194" spans="10:44">
      <c r="J194" s="4">
        <v>184</v>
      </c>
      <c r="K194" s="20" t="s">
        <v>35</v>
      </c>
      <c r="L194" s="22">
        <v>45694</v>
      </c>
      <c r="M194" s="4">
        <v>1</v>
      </c>
      <c r="N194" s="4" t="s">
        <v>508</v>
      </c>
      <c r="O194" s="21" t="str">
        <f>HYPERLINK("obsidian://open?vault=o2&amp;file=2025-02-06.md","2025-02-06")</f>
        <v>2025-02-06</v>
      </c>
      <c r="P194" s="11" t="s">
        <v>175</v>
      </c>
      <c r="AR194" s="11">
        <f>SUBTOTAL(3,_xlfn.SINGLE(tbl_pros[RowId]))</f>
        <v>1</v>
      </c>
    </row>
    <row r="195" spans="10:44">
      <c r="J195" s="4">
        <v>185</v>
      </c>
      <c r="K195" s="20" t="s">
        <v>35</v>
      </c>
      <c r="L195" s="22">
        <v>45695</v>
      </c>
      <c r="M195" s="4">
        <v>1</v>
      </c>
      <c r="N195" s="4" t="s">
        <v>509</v>
      </c>
      <c r="O195" s="21" t="str">
        <f>HYPERLINK("obsidian://open?vault=o2&amp;file=2025-02-07.md","2025-02-07")</f>
        <v>2025-02-07</v>
      </c>
      <c r="P195" s="11" t="s">
        <v>175</v>
      </c>
      <c r="AR195" s="11">
        <f>SUBTOTAL(3,_xlfn.SINGLE(tbl_pros[RowId]))</f>
        <v>1</v>
      </c>
    </row>
    <row r="196" spans="10:44">
      <c r="J196" s="4">
        <v>186</v>
      </c>
      <c r="K196" s="20" t="s">
        <v>35</v>
      </c>
      <c r="L196" s="22">
        <v>45696</v>
      </c>
      <c r="M196" s="4">
        <v>1</v>
      </c>
      <c r="N196" s="4" t="s">
        <v>510</v>
      </c>
      <c r="O196" s="21" t="str">
        <f>HYPERLINK("obsidian://open?vault=o2&amp;file=2025-02-08.md","2025-02-08")</f>
        <v>2025-02-08</v>
      </c>
      <c r="P196" s="11" t="s">
        <v>175</v>
      </c>
      <c r="AR196" s="11">
        <f>SUBTOTAL(3,_xlfn.SINGLE(tbl_pros[RowId]))</f>
        <v>1</v>
      </c>
    </row>
    <row r="197" spans="10:44">
      <c r="J197" s="4">
        <v>187</v>
      </c>
      <c r="K197" s="20" t="s">
        <v>35</v>
      </c>
      <c r="L197" s="22">
        <v>45697</v>
      </c>
      <c r="M197" s="4">
        <v>1</v>
      </c>
      <c r="N197" s="4" t="s">
        <v>511</v>
      </c>
      <c r="O197" s="21" t="str">
        <f>HYPERLINK("obsidian://open?vault=o2&amp;file=2025-02-09.md","2025-02-09")</f>
        <v>2025-02-09</v>
      </c>
      <c r="P197" s="11" t="s">
        <v>175</v>
      </c>
      <c r="AR197" s="11">
        <f>SUBTOTAL(3,_xlfn.SINGLE(tbl_pros[RowId]))</f>
        <v>1</v>
      </c>
    </row>
    <row r="198" spans="10:44">
      <c r="J198" s="4">
        <v>188</v>
      </c>
      <c r="K198" s="20" t="s">
        <v>35</v>
      </c>
      <c r="L198" s="22">
        <v>45699</v>
      </c>
      <c r="M198" s="4">
        <v>1</v>
      </c>
      <c r="N198" s="4" t="s">
        <v>512</v>
      </c>
      <c r="O198" s="21" t="str">
        <f>HYPERLINK("obsidian://open?vault=o2&amp;file=2025-02-11.md","2025-02-11")</f>
        <v>2025-02-11</v>
      </c>
      <c r="P198" s="11" t="s">
        <v>175</v>
      </c>
      <c r="AR198" s="11">
        <f>SUBTOTAL(3,_xlfn.SINGLE(tbl_pros[RowId]))</f>
        <v>1</v>
      </c>
    </row>
    <row r="199" spans="10:44">
      <c r="J199" s="4">
        <v>189</v>
      </c>
      <c r="K199" s="20" t="s">
        <v>35</v>
      </c>
      <c r="L199" s="22">
        <v>45701</v>
      </c>
      <c r="M199" s="4">
        <v>1</v>
      </c>
      <c r="N199" s="4" t="s">
        <v>513</v>
      </c>
      <c r="O199" s="21" t="str">
        <f>HYPERLINK("obsidian://open?vault=o2&amp;file=2025-02-13.md","2025-02-13")</f>
        <v>2025-02-13</v>
      </c>
      <c r="P199" s="11" t="s">
        <v>175</v>
      </c>
      <c r="AR199" s="11">
        <f>SUBTOTAL(3,_xlfn.SINGLE(tbl_pros[RowId]))</f>
        <v>1</v>
      </c>
    </row>
    <row r="200" spans="10:44">
      <c r="J200" s="4">
        <v>190</v>
      </c>
      <c r="K200" s="20" t="s">
        <v>35</v>
      </c>
      <c r="L200" s="22">
        <v>45702</v>
      </c>
      <c r="M200" s="4">
        <v>1</v>
      </c>
      <c r="N200" s="4" t="s">
        <v>514</v>
      </c>
      <c r="O200" s="21" t="str">
        <f>HYPERLINK("obsidian://open?vault=o2&amp;file=2025-02-14.md","2025-02-14")</f>
        <v>2025-02-14</v>
      </c>
      <c r="P200" s="11" t="s">
        <v>175</v>
      </c>
      <c r="AR200" s="11">
        <f>SUBTOTAL(3,_xlfn.SINGLE(tbl_pros[RowId]))</f>
        <v>1</v>
      </c>
    </row>
    <row r="201" spans="10:44">
      <c r="J201" s="4">
        <v>191</v>
      </c>
      <c r="K201" s="20" t="s">
        <v>35</v>
      </c>
      <c r="L201" s="22">
        <v>45703</v>
      </c>
      <c r="M201" s="4">
        <v>1</v>
      </c>
      <c r="N201" s="4" t="s">
        <v>515</v>
      </c>
      <c r="O201" s="21" t="str">
        <f>HYPERLINK("obsidian://open?vault=o2&amp;file=2025-02-15.md","2025-02-15")</f>
        <v>2025-02-15</v>
      </c>
      <c r="P201" s="11" t="s">
        <v>175</v>
      </c>
      <c r="AR201" s="11">
        <f>SUBTOTAL(3,_xlfn.SINGLE(tbl_pros[RowId]))</f>
        <v>1</v>
      </c>
    </row>
    <row r="202" spans="10:44">
      <c r="J202" s="4">
        <v>192</v>
      </c>
      <c r="K202" s="20" t="s">
        <v>35</v>
      </c>
      <c r="L202" s="22">
        <v>45704</v>
      </c>
      <c r="M202" s="4">
        <v>1</v>
      </c>
      <c r="N202" s="4" t="s">
        <v>516</v>
      </c>
      <c r="O202" s="21" t="str">
        <f>HYPERLINK("obsidian://open?vault=o2&amp;file=2025-02-16.md","2025-02-16")</f>
        <v>2025-02-16</v>
      </c>
      <c r="P202" s="11" t="s">
        <v>175</v>
      </c>
      <c r="AR202" s="11">
        <f>SUBTOTAL(3,_xlfn.SINGLE(tbl_pros[RowId]))</f>
        <v>1</v>
      </c>
    </row>
    <row r="203" spans="10:44">
      <c r="J203" s="4">
        <v>193</v>
      </c>
      <c r="K203" s="20" t="s">
        <v>35</v>
      </c>
      <c r="L203" s="22">
        <v>45705</v>
      </c>
      <c r="M203" s="4">
        <v>1</v>
      </c>
      <c r="N203" s="4" t="s">
        <v>517</v>
      </c>
      <c r="O203" s="21" t="str">
        <f>HYPERLINK("obsidian://open?vault=o2&amp;file=2025-02-17.md","2025-02-17")</f>
        <v>2025-02-17</v>
      </c>
      <c r="P203" s="11" t="s">
        <v>175</v>
      </c>
      <c r="AR203" s="11">
        <f>SUBTOTAL(3,_xlfn.SINGLE(tbl_pros[RowId]))</f>
        <v>1</v>
      </c>
    </row>
    <row r="204" spans="10:44">
      <c r="J204" s="4">
        <v>194</v>
      </c>
      <c r="K204" s="20" t="s">
        <v>35</v>
      </c>
      <c r="L204" s="22">
        <v>45706</v>
      </c>
      <c r="M204" s="4">
        <v>1</v>
      </c>
      <c r="N204" s="4" t="s">
        <v>518</v>
      </c>
      <c r="O204" s="21" t="str">
        <f>HYPERLINK("obsidian://open?vault=o2&amp;file=2025-02-18.md","2025-02-18")</f>
        <v>2025-02-18</v>
      </c>
      <c r="P204" s="11" t="s">
        <v>175</v>
      </c>
      <c r="AR204" s="11">
        <f>SUBTOTAL(3,_xlfn.SINGLE(tbl_pros[RowId]))</f>
        <v>1</v>
      </c>
    </row>
    <row r="205" spans="10:44">
      <c r="J205" s="4">
        <v>195</v>
      </c>
      <c r="K205" s="20" t="s">
        <v>35</v>
      </c>
      <c r="L205" s="22">
        <v>45707</v>
      </c>
      <c r="M205" s="4">
        <v>1</v>
      </c>
      <c r="N205" s="4" t="s">
        <v>519</v>
      </c>
      <c r="O205" s="21" t="str">
        <f>HYPERLINK("obsidian://open?vault=o2&amp;file=2025-02-19.md","2025-02-19")</f>
        <v>2025-02-19</v>
      </c>
      <c r="P205" s="11" t="s">
        <v>175</v>
      </c>
      <c r="AR205" s="11">
        <f>SUBTOTAL(3,_xlfn.SINGLE(tbl_pros[RowId]))</f>
        <v>1</v>
      </c>
    </row>
    <row r="206" spans="10:44">
      <c r="J206" s="4">
        <v>196</v>
      </c>
      <c r="K206" s="20" t="s">
        <v>35</v>
      </c>
      <c r="L206" s="22">
        <v>45708</v>
      </c>
      <c r="M206" s="4">
        <v>1</v>
      </c>
      <c r="N206" s="4" t="s">
        <v>520</v>
      </c>
      <c r="O206" s="21" t="str">
        <f>HYPERLINK("obsidian://open?vault=o2&amp;file=2025-02-20.md","2025-02-20")</f>
        <v>2025-02-20</v>
      </c>
      <c r="P206" s="11" t="s">
        <v>175</v>
      </c>
      <c r="AR206" s="11">
        <f>SUBTOTAL(3,_xlfn.SINGLE(tbl_pros[RowId]))</f>
        <v>1</v>
      </c>
    </row>
    <row r="207" spans="10:44">
      <c r="J207" s="4">
        <v>197</v>
      </c>
      <c r="K207" s="20" t="s">
        <v>35</v>
      </c>
      <c r="L207" s="22">
        <v>45710</v>
      </c>
      <c r="M207" s="4">
        <v>1</v>
      </c>
      <c r="N207" s="4" t="s">
        <v>521</v>
      </c>
      <c r="O207" s="21" t="str">
        <f>HYPERLINK("obsidian://open?vault=o2&amp;file=2025-02-22.md","2025-02-22")</f>
        <v>2025-02-22</v>
      </c>
      <c r="P207" s="11" t="s">
        <v>175</v>
      </c>
      <c r="AR207" s="11">
        <f>SUBTOTAL(3,_xlfn.SINGLE(tbl_pros[RowId]))</f>
        <v>1</v>
      </c>
    </row>
    <row r="208" spans="10:44">
      <c r="J208" s="4">
        <v>198</v>
      </c>
      <c r="K208" s="20" t="s">
        <v>35</v>
      </c>
      <c r="L208" s="22">
        <v>45711</v>
      </c>
      <c r="M208" s="4">
        <v>1</v>
      </c>
      <c r="N208" s="4" t="s">
        <v>522</v>
      </c>
      <c r="O208" s="21" t="str">
        <f>HYPERLINK("obsidian://open?vault=o2&amp;file=2025-02-23.md","2025-02-23")</f>
        <v>2025-02-23</v>
      </c>
      <c r="P208" s="11" t="s">
        <v>175</v>
      </c>
      <c r="AR208" s="11">
        <f>SUBTOTAL(3,_xlfn.SINGLE(tbl_pros[RowId]))</f>
        <v>1</v>
      </c>
    </row>
    <row r="209" spans="10:44">
      <c r="J209" s="4">
        <v>199</v>
      </c>
      <c r="K209" s="20" t="s">
        <v>35</v>
      </c>
      <c r="L209" s="22">
        <v>45712</v>
      </c>
      <c r="M209" s="4">
        <v>1</v>
      </c>
      <c r="N209" s="4" t="s">
        <v>523</v>
      </c>
      <c r="O209" s="21" t="str">
        <f>HYPERLINK("obsidian://open?vault=o2&amp;file=2025-02-24.md","2025-02-24")</f>
        <v>2025-02-24</v>
      </c>
      <c r="P209" s="11" t="s">
        <v>175</v>
      </c>
      <c r="AR209" s="11">
        <f>SUBTOTAL(3,_xlfn.SINGLE(tbl_pros[RowId]))</f>
        <v>1</v>
      </c>
    </row>
    <row r="210" spans="10:44">
      <c r="J210" s="4">
        <v>200</v>
      </c>
      <c r="K210" s="20" t="s">
        <v>35</v>
      </c>
      <c r="L210" s="22">
        <v>45713</v>
      </c>
      <c r="M210" s="4">
        <v>1</v>
      </c>
      <c r="N210" s="4" t="s">
        <v>524</v>
      </c>
      <c r="O210" s="21" t="str">
        <f>HYPERLINK("obsidian://open?vault=o2&amp;file=2025-02-25.md","2025-02-25")</f>
        <v>2025-02-25</v>
      </c>
      <c r="P210" s="11" t="s">
        <v>175</v>
      </c>
      <c r="AR210" s="11">
        <f>SUBTOTAL(3,_xlfn.SINGLE(tbl_pros[RowId]))</f>
        <v>1</v>
      </c>
    </row>
    <row r="211" spans="10:44">
      <c r="J211" s="4">
        <v>201</v>
      </c>
      <c r="K211" s="20" t="s">
        <v>35</v>
      </c>
      <c r="L211" s="22">
        <v>45714</v>
      </c>
      <c r="M211" s="4">
        <v>1</v>
      </c>
      <c r="N211" s="4" t="s">
        <v>525</v>
      </c>
      <c r="O211" s="21" t="str">
        <f>HYPERLINK("obsidian://open?vault=o2&amp;file=2025-02-26.md","2025-02-26")</f>
        <v>2025-02-26</v>
      </c>
      <c r="P211" s="11" t="s">
        <v>175</v>
      </c>
      <c r="AR211" s="11">
        <f>SUBTOTAL(3,_xlfn.SINGLE(tbl_pros[RowId]))</f>
        <v>1</v>
      </c>
    </row>
    <row r="212" spans="10:44">
      <c r="J212" s="4">
        <v>202</v>
      </c>
      <c r="K212" s="20" t="s">
        <v>35</v>
      </c>
      <c r="L212" s="22">
        <v>45715</v>
      </c>
      <c r="M212" s="4">
        <v>1</v>
      </c>
      <c r="N212" s="4" t="s">
        <v>526</v>
      </c>
      <c r="O212" s="21" t="str">
        <f>HYPERLINK("obsidian://open?vault=o2&amp;file=2025-02-27.md","2025-02-27")</f>
        <v>2025-02-27</v>
      </c>
      <c r="P212" s="11" t="s">
        <v>175</v>
      </c>
      <c r="AR212" s="11">
        <f>SUBTOTAL(3,_xlfn.SINGLE(tbl_pros[RowId]))</f>
        <v>1</v>
      </c>
    </row>
    <row r="213" spans="10:44">
      <c r="J213" s="4">
        <v>203</v>
      </c>
      <c r="K213" s="20" t="s">
        <v>35</v>
      </c>
      <c r="L213" s="22">
        <v>45717</v>
      </c>
      <c r="M213" s="4">
        <v>1</v>
      </c>
      <c r="N213" s="4" t="s">
        <v>527</v>
      </c>
      <c r="O213" s="21" t="str">
        <f>HYPERLINK("obsidian://open?vault=o2&amp;file=2025-03-01.md","2025-03-01")</f>
        <v>2025-03-01</v>
      </c>
      <c r="P213" s="11" t="s">
        <v>175</v>
      </c>
      <c r="AR213" s="11">
        <f>SUBTOTAL(3,_xlfn.SINGLE(tbl_pros[RowId]))</f>
        <v>1</v>
      </c>
    </row>
    <row r="214" spans="10:44">
      <c r="J214" s="4">
        <v>204</v>
      </c>
      <c r="K214" s="20" t="s">
        <v>35</v>
      </c>
      <c r="L214" s="22">
        <v>45718</v>
      </c>
      <c r="M214" s="4">
        <v>1</v>
      </c>
      <c r="N214" s="4" t="s">
        <v>528</v>
      </c>
      <c r="O214" s="21" t="str">
        <f>HYPERLINK("obsidian://open?vault=o2&amp;file=2025-03-02.md","2025-03-02")</f>
        <v>2025-03-02</v>
      </c>
      <c r="P214" s="11" t="s">
        <v>175</v>
      </c>
      <c r="AR214" s="11">
        <f>SUBTOTAL(3,_xlfn.SINGLE(tbl_pros[RowId]))</f>
        <v>1</v>
      </c>
    </row>
    <row r="215" spans="10:44">
      <c r="J215" s="4">
        <v>205</v>
      </c>
      <c r="K215" s="20" t="s">
        <v>35</v>
      </c>
      <c r="L215" s="22">
        <v>45719</v>
      </c>
      <c r="M215" s="4">
        <v>1</v>
      </c>
      <c r="N215" s="4" t="s">
        <v>529</v>
      </c>
      <c r="O215" s="21" t="str">
        <f>HYPERLINK("obsidian://open?vault=o2&amp;file=2025-03-03.md","2025-03-03")</f>
        <v>2025-03-03</v>
      </c>
      <c r="P215" s="11" t="s">
        <v>175</v>
      </c>
      <c r="AR215" s="11">
        <f>SUBTOTAL(3,_xlfn.SINGLE(tbl_pros[RowId]))</f>
        <v>1</v>
      </c>
    </row>
    <row r="216" spans="10:44">
      <c r="J216" s="4">
        <v>206</v>
      </c>
      <c r="K216" s="20" t="s">
        <v>35</v>
      </c>
      <c r="L216" s="22">
        <v>45720</v>
      </c>
      <c r="M216" s="4">
        <v>1</v>
      </c>
      <c r="N216" s="4" t="s">
        <v>530</v>
      </c>
      <c r="O216" s="21" t="str">
        <f>HYPERLINK("obsidian://open?vault=o2&amp;file=2025-03-04.md","2025-03-04")</f>
        <v>2025-03-04</v>
      </c>
      <c r="P216" s="11" t="s">
        <v>175</v>
      </c>
      <c r="AR216" s="11">
        <f>SUBTOTAL(3,_xlfn.SINGLE(tbl_pros[RowId]))</f>
        <v>1</v>
      </c>
    </row>
    <row r="217" spans="10:44">
      <c r="J217" s="4">
        <v>207</v>
      </c>
      <c r="K217" s="20" t="s">
        <v>35</v>
      </c>
      <c r="L217" s="22">
        <v>45721</v>
      </c>
      <c r="M217" s="4">
        <v>1</v>
      </c>
      <c r="N217" s="4" t="s">
        <v>531</v>
      </c>
      <c r="O217" s="21" t="str">
        <f>HYPERLINK("obsidian://open?vault=o2&amp;file=2025-03-05.md","2025-03-05")</f>
        <v>2025-03-05</v>
      </c>
      <c r="P217" s="11" t="s">
        <v>175</v>
      </c>
      <c r="AR217" s="11">
        <f>SUBTOTAL(3,_xlfn.SINGLE(tbl_pros[RowId]))</f>
        <v>1</v>
      </c>
    </row>
    <row r="218" spans="10:44">
      <c r="J218" s="4">
        <v>208</v>
      </c>
      <c r="K218" s="20" t="s">
        <v>35</v>
      </c>
      <c r="L218" s="22">
        <v>45724</v>
      </c>
      <c r="M218" s="4">
        <v>1</v>
      </c>
      <c r="N218" s="4" t="s">
        <v>532</v>
      </c>
      <c r="O218" s="21" t="str">
        <f>HYPERLINK("obsidian://open?vault=o2&amp;file=2025-03-08.md","2025-03-08")</f>
        <v>2025-03-08</v>
      </c>
      <c r="P218" s="11" t="s">
        <v>175</v>
      </c>
      <c r="AR218" s="11">
        <f>SUBTOTAL(3,_xlfn.SINGLE(tbl_pros[RowId]))</f>
        <v>1</v>
      </c>
    </row>
    <row r="219" spans="10:44">
      <c r="J219" s="4">
        <v>209</v>
      </c>
      <c r="K219" s="20" t="s">
        <v>35</v>
      </c>
      <c r="L219" s="22">
        <v>45725</v>
      </c>
      <c r="M219" s="4">
        <v>1</v>
      </c>
      <c r="N219" s="4" t="s">
        <v>533</v>
      </c>
      <c r="O219" s="21" t="str">
        <f>HYPERLINK("obsidian://open?vault=o2&amp;file=2025-03-09.md","2025-03-09")</f>
        <v>2025-03-09</v>
      </c>
      <c r="P219" s="11" t="s">
        <v>175</v>
      </c>
      <c r="AR219" s="11">
        <f>SUBTOTAL(3,_xlfn.SINGLE(tbl_pros[RowId]))</f>
        <v>1</v>
      </c>
    </row>
    <row r="220" spans="10:44">
      <c r="J220" s="4">
        <v>210</v>
      </c>
      <c r="K220" s="20" t="s">
        <v>35</v>
      </c>
      <c r="L220" s="22">
        <v>45726</v>
      </c>
      <c r="M220" s="4">
        <v>1</v>
      </c>
      <c r="N220" s="4" t="s">
        <v>534</v>
      </c>
      <c r="O220" s="21" t="str">
        <f>HYPERLINK("obsidian://open?vault=o2&amp;file=2025-03-10.md","2025-03-10")</f>
        <v>2025-03-10</v>
      </c>
      <c r="P220" s="11" t="s">
        <v>175</v>
      </c>
      <c r="AR220" s="11">
        <f>SUBTOTAL(3,_xlfn.SINGLE(tbl_pros[RowId]))</f>
        <v>1</v>
      </c>
    </row>
    <row r="221" spans="10:44">
      <c r="J221" s="4">
        <v>211</v>
      </c>
      <c r="K221" s="20" t="s">
        <v>35</v>
      </c>
      <c r="L221" s="22">
        <v>45727</v>
      </c>
      <c r="M221" s="4">
        <v>1</v>
      </c>
      <c r="N221" s="4" t="s">
        <v>535</v>
      </c>
      <c r="O221" s="21" t="str">
        <f>HYPERLINK("obsidian://open?vault=o2&amp;file=2025-03-11.md","2025-03-11")</f>
        <v>2025-03-11</v>
      </c>
      <c r="P221" s="11" t="s">
        <v>175</v>
      </c>
      <c r="AR221" s="11">
        <f>SUBTOTAL(3,_xlfn.SINGLE(tbl_pros[RowId]))</f>
        <v>1</v>
      </c>
    </row>
    <row r="222" spans="10:44">
      <c r="J222" s="4">
        <v>212</v>
      </c>
      <c r="K222" s="20" t="s">
        <v>35</v>
      </c>
      <c r="L222" s="22">
        <v>45728</v>
      </c>
      <c r="M222" s="4">
        <v>1</v>
      </c>
      <c r="N222" s="4" t="s">
        <v>536</v>
      </c>
      <c r="O222" s="21" t="str">
        <f>HYPERLINK("obsidian://open?vault=o2&amp;file=2025-03-12.md","2025-03-12")</f>
        <v>2025-03-12</v>
      </c>
      <c r="P222" s="11" t="s">
        <v>175</v>
      </c>
      <c r="AR222" s="11">
        <f>SUBTOTAL(3,_xlfn.SINGLE(tbl_pros[RowId]))</f>
        <v>1</v>
      </c>
    </row>
    <row r="223" spans="10:44">
      <c r="J223" s="4">
        <v>213</v>
      </c>
      <c r="K223" s="20" t="s">
        <v>35</v>
      </c>
      <c r="L223" s="22">
        <v>45729</v>
      </c>
      <c r="M223" s="4">
        <v>1</v>
      </c>
      <c r="N223" s="4" t="s">
        <v>537</v>
      </c>
      <c r="O223" s="21" t="str">
        <f>HYPERLINK("obsidian://open?vault=o2&amp;file=2025-03-13.md","2025-03-13")</f>
        <v>2025-03-13</v>
      </c>
      <c r="P223" s="11" t="s">
        <v>175</v>
      </c>
      <c r="AR223" s="11">
        <f>SUBTOTAL(3,_xlfn.SINGLE(tbl_pros[RowId]))</f>
        <v>1</v>
      </c>
    </row>
    <row r="224" spans="10:44">
      <c r="J224" s="4">
        <v>214</v>
      </c>
      <c r="K224" s="20" t="s">
        <v>35</v>
      </c>
      <c r="L224" s="22">
        <v>45730</v>
      </c>
      <c r="M224" s="4">
        <v>2</v>
      </c>
      <c r="N224" s="4" t="s">
        <v>538</v>
      </c>
      <c r="O224" s="21" t="str">
        <f>HYPERLINK("obsidian://open?vault=o2&amp;file=2025-03-14.md","2025-03-14")</f>
        <v>2025-03-14</v>
      </c>
      <c r="P224" s="11" t="s">
        <v>175</v>
      </c>
      <c r="Q224" s="21" t="str">
        <f>HYPERLINK("obsidian://open?vault=o2&amp;file=2025-03-14.md","2025-03-14")</f>
        <v>2025-03-14</v>
      </c>
      <c r="R224" s="11" t="s">
        <v>175</v>
      </c>
      <c r="AR224" s="11">
        <f>SUBTOTAL(3,_xlfn.SINGLE(tbl_pros[RowId]))</f>
        <v>1</v>
      </c>
    </row>
    <row r="225" spans="10:44">
      <c r="J225" s="4">
        <v>215</v>
      </c>
      <c r="K225" s="20" t="s">
        <v>35</v>
      </c>
      <c r="L225" s="22">
        <v>45731</v>
      </c>
      <c r="M225" s="4">
        <v>1</v>
      </c>
      <c r="N225" s="4" t="s">
        <v>539</v>
      </c>
      <c r="O225" s="21" t="str">
        <f>HYPERLINK("obsidian://open?vault=o2&amp;file=2025-03-15.md","2025-03-15")</f>
        <v>2025-03-15</v>
      </c>
      <c r="P225" s="11" t="s">
        <v>175</v>
      </c>
      <c r="AR225" s="11">
        <f>SUBTOTAL(3,_xlfn.SINGLE(tbl_pros[RowId]))</f>
        <v>1</v>
      </c>
    </row>
    <row r="226" spans="10:44">
      <c r="J226" s="4">
        <v>216</v>
      </c>
      <c r="K226" s="20" t="s">
        <v>35</v>
      </c>
      <c r="L226" s="22">
        <v>45733</v>
      </c>
      <c r="M226" s="4">
        <v>1</v>
      </c>
      <c r="N226" s="4" t="s">
        <v>540</v>
      </c>
      <c r="O226" s="21" t="str">
        <f>HYPERLINK("obsidian://open?vault=o2&amp;file=2025-03-17.md","2025-03-17")</f>
        <v>2025-03-17</v>
      </c>
      <c r="P226" s="11" t="s">
        <v>175</v>
      </c>
      <c r="AR226" s="11">
        <f>SUBTOTAL(3,_xlfn.SINGLE(tbl_pros[RowId]))</f>
        <v>1</v>
      </c>
    </row>
    <row r="227" spans="10:44">
      <c r="J227" s="4">
        <v>217</v>
      </c>
      <c r="K227" s="20" t="s">
        <v>35</v>
      </c>
      <c r="L227" s="22">
        <v>45735</v>
      </c>
      <c r="M227" s="4">
        <v>1</v>
      </c>
      <c r="N227" s="4" t="s">
        <v>541</v>
      </c>
      <c r="O227" s="21" t="str">
        <f>HYPERLINK("obsidian://open?vault=o2&amp;file=2025-03-19.md","2025-03-19")</f>
        <v>2025-03-19</v>
      </c>
      <c r="P227" s="11" t="s">
        <v>175</v>
      </c>
      <c r="AR227" s="11">
        <f>SUBTOTAL(3,_xlfn.SINGLE(tbl_pros[RowId]))</f>
        <v>1</v>
      </c>
    </row>
    <row r="228" spans="10:44">
      <c r="J228" s="4">
        <v>218</v>
      </c>
      <c r="K228" s="20" t="s">
        <v>35</v>
      </c>
      <c r="L228" s="22">
        <v>45736</v>
      </c>
      <c r="M228" s="4">
        <v>1</v>
      </c>
      <c r="N228" s="4" t="s">
        <v>542</v>
      </c>
      <c r="O228" s="21" t="str">
        <f>HYPERLINK("obsidian://open?vault=o2&amp;file=2025-03-20.md","2025-03-20")</f>
        <v>2025-03-20</v>
      </c>
      <c r="P228" s="11" t="s">
        <v>175</v>
      </c>
      <c r="AR228" s="11">
        <f>SUBTOTAL(3,_xlfn.SINGLE(tbl_pros[RowId]))</f>
        <v>1</v>
      </c>
    </row>
    <row r="229" spans="10:44">
      <c r="J229" s="4">
        <v>219</v>
      </c>
      <c r="K229" s="20" t="s">
        <v>35</v>
      </c>
      <c r="L229" s="22">
        <v>45737</v>
      </c>
      <c r="M229" s="4">
        <v>1</v>
      </c>
      <c r="N229" s="4" t="s">
        <v>543</v>
      </c>
      <c r="O229" s="21" t="str">
        <f>HYPERLINK("obsidian://open?vault=o2&amp;file=2025-03-21.md","2025-03-21")</f>
        <v>2025-03-21</v>
      </c>
      <c r="P229" s="11" t="s">
        <v>175</v>
      </c>
      <c r="AR229" s="11">
        <f>SUBTOTAL(3,_xlfn.SINGLE(tbl_pros[RowId]))</f>
        <v>1</v>
      </c>
    </row>
    <row r="230" spans="10:44">
      <c r="J230" s="4">
        <v>220</v>
      </c>
      <c r="K230" s="20" t="s">
        <v>35</v>
      </c>
      <c r="L230" s="22">
        <v>45738</v>
      </c>
      <c r="M230" s="4">
        <v>1</v>
      </c>
      <c r="N230" s="4" t="s">
        <v>544</v>
      </c>
      <c r="O230" s="21" t="str">
        <f>HYPERLINK("obsidian://open?vault=o2&amp;file=2025-03-22.md","2025-03-22")</f>
        <v>2025-03-22</v>
      </c>
      <c r="P230" s="11" t="s">
        <v>175</v>
      </c>
      <c r="AR230" s="11">
        <f>SUBTOTAL(3,_xlfn.SINGLE(tbl_pros[RowId]))</f>
        <v>1</v>
      </c>
    </row>
    <row r="231" spans="10:44">
      <c r="J231" s="4">
        <v>221</v>
      </c>
      <c r="K231" s="20" t="s">
        <v>35</v>
      </c>
      <c r="L231" s="22">
        <v>45741</v>
      </c>
      <c r="M231" s="4">
        <v>1</v>
      </c>
      <c r="N231" s="4" t="s">
        <v>545</v>
      </c>
      <c r="O231" s="21" t="str">
        <f>HYPERLINK("obsidian://open?vault=o2&amp;file=2025-03-25.md","2025-03-25")</f>
        <v>2025-03-25</v>
      </c>
      <c r="P231" s="11" t="s">
        <v>175</v>
      </c>
      <c r="AR231" s="11">
        <f>SUBTOTAL(3,_xlfn.SINGLE(tbl_pros[RowId]))</f>
        <v>1</v>
      </c>
    </row>
    <row r="232" spans="10:44">
      <c r="J232" s="4">
        <v>222</v>
      </c>
      <c r="K232" s="20" t="s">
        <v>35</v>
      </c>
      <c r="L232" s="22">
        <v>45743</v>
      </c>
      <c r="M232" s="4">
        <v>1</v>
      </c>
      <c r="N232" s="4" t="s">
        <v>546</v>
      </c>
      <c r="O232" s="21" t="str">
        <f>HYPERLINK("obsidian://open?vault=o2&amp;file=2025-03-27.md","2025-03-27")</f>
        <v>2025-03-27</v>
      </c>
      <c r="P232" s="11" t="s">
        <v>175</v>
      </c>
      <c r="AR232" s="11">
        <f>SUBTOTAL(3,_xlfn.SINGLE(tbl_pros[RowId]))</f>
        <v>1</v>
      </c>
    </row>
    <row r="233" spans="10:44">
      <c r="J233" s="4">
        <v>223</v>
      </c>
      <c r="K233" s="20" t="s">
        <v>35</v>
      </c>
      <c r="L233" s="22">
        <v>45744</v>
      </c>
      <c r="M233" s="4">
        <v>1</v>
      </c>
      <c r="N233" s="4" t="s">
        <v>547</v>
      </c>
      <c r="O233" s="21" t="str">
        <f>HYPERLINK("obsidian://open?vault=o2&amp;file=2025-03-28.md","2025-03-28")</f>
        <v>2025-03-28</v>
      </c>
      <c r="P233" s="11" t="s">
        <v>175</v>
      </c>
      <c r="AR233" s="11">
        <f>SUBTOTAL(3,_xlfn.SINGLE(tbl_pros[RowId]))</f>
        <v>1</v>
      </c>
    </row>
    <row r="234" spans="10:44">
      <c r="J234" s="4">
        <v>224</v>
      </c>
      <c r="K234" s="20" t="s">
        <v>35</v>
      </c>
      <c r="L234" s="22">
        <v>45745</v>
      </c>
      <c r="M234" s="4">
        <v>1</v>
      </c>
      <c r="N234" s="4" t="s">
        <v>548</v>
      </c>
      <c r="O234" s="21" t="str">
        <f>HYPERLINK("obsidian://open?vault=o2&amp;file=2025-03-29.md","2025-03-29")</f>
        <v>2025-03-29</v>
      </c>
      <c r="P234" s="11" t="s">
        <v>175</v>
      </c>
      <c r="AR234" s="11">
        <f>SUBTOTAL(3,_xlfn.SINGLE(tbl_pros[RowId]))</f>
        <v>1</v>
      </c>
    </row>
    <row r="235" spans="10:44">
      <c r="J235" s="4">
        <v>225</v>
      </c>
      <c r="K235" s="20" t="s">
        <v>35</v>
      </c>
      <c r="L235" s="22">
        <v>45746</v>
      </c>
      <c r="M235" s="4">
        <v>1</v>
      </c>
      <c r="N235" s="4" t="s">
        <v>549</v>
      </c>
      <c r="O235" s="21" t="str">
        <f>HYPERLINK("obsidian://open?vault=o2&amp;file=2025-03-30.md","2025-03-30")</f>
        <v>2025-03-30</v>
      </c>
      <c r="P235" s="11" t="s">
        <v>175</v>
      </c>
      <c r="AR235" s="11">
        <f>SUBTOTAL(3,_xlfn.SINGLE(tbl_pros[RowId]))</f>
        <v>1</v>
      </c>
    </row>
    <row r="236" spans="10:44">
      <c r="J236" s="4">
        <v>226</v>
      </c>
      <c r="K236" s="20" t="s">
        <v>35</v>
      </c>
      <c r="L236" s="22">
        <v>45747</v>
      </c>
      <c r="M236" s="4">
        <v>1</v>
      </c>
      <c r="N236" s="4" t="s">
        <v>550</v>
      </c>
      <c r="O236" s="21" t="str">
        <f>HYPERLINK("obsidian://open?vault=o2&amp;file=2025-03-31.md","2025-03-31")</f>
        <v>2025-03-31</v>
      </c>
      <c r="P236" s="11" t="s">
        <v>175</v>
      </c>
      <c r="AR236" s="11">
        <f>SUBTOTAL(3,_xlfn.SINGLE(tbl_pros[RowId]))</f>
        <v>1</v>
      </c>
    </row>
    <row r="237" spans="10:44">
      <c r="J237" s="4">
        <v>227</v>
      </c>
      <c r="K237" s="20" t="s">
        <v>35</v>
      </c>
      <c r="L237" s="22">
        <v>45754</v>
      </c>
      <c r="M237" s="4">
        <v>1</v>
      </c>
      <c r="N237" s="4" t="s">
        <v>551</v>
      </c>
      <c r="O237" s="21" t="str">
        <f>HYPERLINK("obsidian://open?vault=o2&amp;file=2025-04-07.md","2025-04-07")</f>
        <v>2025-04-07</v>
      </c>
      <c r="P237" s="11" t="s">
        <v>175</v>
      </c>
      <c r="AR237" s="11">
        <f>SUBTOTAL(3,_xlfn.SINGLE(tbl_pros[RowId]))</f>
        <v>1</v>
      </c>
    </row>
    <row r="238" spans="10:44">
      <c r="J238" s="4">
        <v>228</v>
      </c>
      <c r="K238" s="20" t="s">
        <v>35</v>
      </c>
      <c r="L238" s="22">
        <v>45755</v>
      </c>
      <c r="M238" s="4">
        <v>1</v>
      </c>
      <c r="N238" s="4" t="s">
        <v>552</v>
      </c>
      <c r="O238" s="21" t="str">
        <f>HYPERLINK("obsidian://open?vault=o2&amp;file=2025-04-08.md","2025-04-08")</f>
        <v>2025-04-08</v>
      </c>
      <c r="P238" s="11" t="s">
        <v>175</v>
      </c>
      <c r="AR238" s="11">
        <f>SUBTOTAL(3,_xlfn.SINGLE(tbl_pros[RowId]))</f>
        <v>1</v>
      </c>
    </row>
    <row r="239" spans="10:44">
      <c r="J239" s="4">
        <v>229</v>
      </c>
      <c r="K239" s="20" t="s">
        <v>35</v>
      </c>
      <c r="L239" s="22">
        <v>45757</v>
      </c>
      <c r="M239" s="4">
        <v>1</v>
      </c>
      <c r="N239" s="4" t="s">
        <v>553</v>
      </c>
      <c r="O239" s="21" t="str">
        <f>HYPERLINK("obsidian://open?vault=o2&amp;file=2025-04-10.md","2025-04-10")</f>
        <v>2025-04-10</v>
      </c>
      <c r="P239" s="11" t="s">
        <v>175</v>
      </c>
      <c r="AR239" s="11">
        <f>SUBTOTAL(3,_xlfn.SINGLE(tbl_pros[RowId]))</f>
        <v>1</v>
      </c>
    </row>
    <row r="240" spans="10:44">
      <c r="J240" s="4">
        <v>230</v>
      </c>
      <c r="K240" s="20" t="s">
        <v>35</v>
      </c>
      <c r="L240" s="22">
        <v>45760</v>
      </c>
      <c r="M240" s="4">
        <v>1</v>
      </c>
      <c r="N240" s="4" t="s">
        <v>554</v>
      </c>
      <c r="O240" s="21" t="str">
        <f>HYPERLINK("obsidian://open?vault=o2&amp;file=2025-04-13.md","2025-04-13")</f>
        <v>2025-04-13</v>
      </c>
      <c r="P240" s="11" t="s">
        <v>175</v>
      </c>
      <c r="AR240" s="11">
        <f>SUBTOTAL(3,_xlfn.SINGLE(tbl_pros[RowId]))</f>
        <v>1</v>
      </c>
    </row>
    <row r="241" spans="10:44">
      <c r="J241" s="4">
        <v>231</v>
      </c>
      <c r="K241" s="20" t="s">
        <v>35</v>
      </c>
      <c r="L241" s="22">
        <v>45761</v>
      </c>
      <c r="M241" s="4">
        <v>1</v>
      </c>
      <c r="N241" s="4" t="s">
        <v>555</v>
      </c>
      <c r="O241" s="21" t="str">
        <f>HYPERLINK("obsidian://open?vault=o2&amp;file=2025-04-14.md","2025-04-14")</f>
        <v>2025-04-14</v>
      </c>
      <c r="P241" s="11" t="s">
        <v>175</v>
      </c>
      <c r="AR241" s="11">
        <f>SUBTOTAL(3,_xlfn.SINGLE(tbl_pros[RowId]))</f>
        <v>1</v>
      </c>
    </row>
    <row r="242" spans="10:44">
      <c r="J242" s="4">
        <v>232</v>
      </c>
      <c r="K242" s="20" t="s">
        <v>35</v>
      </c>
      <c r="L242" s="22">
        <v>45764</v>
      </c>
      <c r="M242" s="4">
        <v>1</v>
      </c>
      <c r="N242" s="4" t="s">
        <v>556</v>
      </c>
      <c r="O242" s="21" t="str">
        <f>HYPERLINK("obsidian://open?vault=o2&amp;file=2025-04-17.md","2025-04-17")</f>
        <v>2025-04-17</v>
      </c>
      <c r="P242" s="11" t="s">
        <v>175</v>
      </c>
      <c r="AR242" s="11">
        <f>SUBTOTAL(3,_xlfn.SINGLE(tbl_pros[RowId]))</f>
        <v>1</v>
      </c>
    </row>
    <row r="243" spans="10:44">
      <c r="J243" s="4">
        <v>233</v>
      </c>
      <c r="K243" s="20" t="s">
        <v>35</v>
      </c>
      <c r="L243" s="2" t="s">
        <v>557</v>
      </c>
      <c r="M243" s="4">
        <v>2</v>
      </c>
      <c r="N243" s="4" t="s">
        <v>558</v>
      </c>
      <c r="O243" s="21" t="str">
        <f>HYPERLINK("obsidian://open?vault=o2&amp;file=Daily%20Template.md","Daily Template")</f>
        <v>Daily Template</v>
      </c>
      <c r="P243" s="11" t="s">
        <v>175</v>
      </c>
      <c r="Q243" s="21" t="str">
        <f>HYPERLINK("obsidian://open?vault=o2&amp;file=Daily%20Template_bup.md","Daily Template_bup")</f>
        <v>Daily Template_bup</v>
      </c>
      <c r="R243" s="11" t="s">
        <v>175</v>
      </c>
      <c r="AR243" s="11">
        <f>SUBTOTAL(3,_xlfn.SINGLE(tbl_pros[RowId]))</f>
        <v>1</v>
      </c>
    </row>
    <row r="244" spans="10:44">
      <c r="J244" s="4">
        <v>234</v>
      </c>
      <c r="K244" s="20" t="s">
        <v>37</v>
      </c>
      <c r="L244" s="2" t="s">
        <v>559</v>
      </c>
      <c r="M244" s="4">
        <v>1</v>
      </c>
      <c r="N244" s="4" t="s">
        <v>560</v>
      </c>
      <c r="O244" s="21" t="str">
        <f>HYPERLINK("obsidian://open?vault=o2&amp;file=The%20Ultimate%20Cable%20Management%20Tier%20List.md","The Ultimate Cable Management Tier List")</f>
        <v>The Ultimate Cable Management Tier List</v>
      </c>
      <c r="P244" s="11" t="s">
        <v>175</v>
      </c>
      <c r="AR244" s="11">
        <f>SUBTOTAL(3,_xlfn.SINGLE(tbl_pros[RowId]))</f>
        <v>1</v>
      </c>
    </row>
    <row r="245" spans="10:44">
      <c r="J245" s="4">
        <v>235</v>
      </c>
      <c r="K245" s="20" t="s">
        <v>37</v>
      </c>
      <c r="L245" s="2" t="s">
        <v>561</v>
      </c>
      <c r="M245" s="4">
        <v>1</v>
      </c>
      <c r="N245" s="4" t="s">
        <v>562</v>
      </c>
      <c r="O245" s="21" t="str">
        <f>HYPERLINK("obsidian://open?vault=o2&amp;file=Free%20Lightroom%20Tutorial%20%20Adobe%20Lightroom%20Essentials%20Training%20Course.md","Free Lightroom Tutorial  Adobe Lightroom Essentials Training Course")</f>
        <v>Free Lightroom Tutorial  Adobe Lightroom Essentials Training Course</v>
      </c>
      <c r="P245" s="11" t="s">
        <v>175</v>
      </c>
      <c r="AR245" s="11">
        <f>SUBTOTAL(3,_xlfn.SINGLE(tbl_pros[RowId]))</f>
        <v>1</v>
      </c>
    </row>
    <row r="246" spans="10:44">
      <c r="J246" s="4">
        <v>236</v>
      </c>
      <c r="K246" s="20" t="s">
        <v>37</v>
      </c>
      <c r="L246" s="2" t="s">
        <v>563</v>
      </c>
      <c r="M246" s="4">
        <v>1</v>
      </c>
      <c r="N246" s="4" t="s">
        <v>564</v>
      </c>
      <c r="O246" s="21" t="str">
        <f>HYPERLINK("obsidian://open?vault=o2&amp;file=My%20Clean%2C%20Modern%20Desk%20Setup%20for%20Productivity%20%26%20Creativity.md","My Clean, Modern Desk Setup for Productivity &amp; Creativity")</f>
        <v>My Clean, Modern Desk Setup for Productivity &amp; Creativity</v>
      </c>
      <c r="P246" s="11" t="s">
        <v>175</v>
      </c>
      <c r="AR246" s="11">
        <f>SUBTOTAL(3,_xlfn.SINGLE(tbl_pros[RowId]))</f>
        <v>1</v>
      </c>
    </row>
    <row r="247" spans="10:44">
      <c r="J247" s="4">
        <v>237</v>
      </c>
      <c r="K247" s="20" t="s">
        <v>37</v>
      </c>
      <c r="L247" s="2" t="s">
        <v>565</v>
      </c>
      <c r="M247" s="4">
        <v>1</v>
      </c>
      <c r="N247" s="4" t="s">
        <v>566</v>
      </c>
      <c r="O247"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P247" s="11" t="s">
        <v>175</v>
      </c>
      <c r="AR247" s="11">
        <f>SUBTOTAL(3,_xlfn.SINGLE(tbl_pros[RowId]))</f>
        <v>1</v>
      </c>
    </row>
    <row r="248" spans="10:44">
      <c r="J248" s="4">
        <v>238</v>
      </c>
      <c r="K248" s="20" t="s">
        <v>37</v>
      </c>
      <c r="L248" s="2" t="s">
        <v>567</v>
      </c>
      <c r="M248" s="4">
        <v>1</v>
      </c>
      <c r="N248" s="4" t="s">
        <v>568</v>
      </c>
      <c r="O248" s="21" t="str">
        <f>HYPERLINK("obsidian://open?vault=o2&amp;file=Time%20to%20UNSUBSCRIBE%20from%20Disney%2B%2C%20Netflix%2C%20etc%21.md","Time to UNSUBSCRIBE from Disney+, Netflix, etc!")</f>
        <v>Time to UNSUBSCRIBE from Disney+, Netflix, etc!</v>
      </c>
      <c r="P248" s="11" t="s">
        <v>175</v>
      </c>
      <c r="AR248" s="11">
        <f>SUBTOTAL(3,_xlfn.SINGLE(tbl_pros[RowId]))</f>
        <v>1</v>
      </c>
    </row>
    <row r="249" spans="10:44">
      <c r="J249" s="4">
        <v>239</v>
      </c>
      <c r="K249" s="20" t="s">
        <v>37</v>
      </c>
      <c r="L249" s="2" t="s">
        <v>569</v>
      </c>
      <c r="M249" s="4">
        <v>1</v>
      </c>
      <c r="N249" s="4" t="s">
        <v>570</v>
      </c>
      <c r="O249" s="21" t="str">
        <f>HYPERLINK("obsidian://open?vault=o2&amp;file=The%20Perfect%20Diane%20Sauce%20-%20Chicken%20Diane%20%20Chef%20Jean-Pierre.md","The Perfect Diane Sauce - Chicken Diane  Chef Jean-Pierre")</f>
        <v>The Perfect Diane Sauce - Chicken Diane  Chef Jean-Pierre</v>
      </c>
      <c r="P249" s="11" t="s">
        <v>175</v>
      </c>
      <c r="AR249" s="11">
        <f>SUBTOTAL(3,_xlfn.SINGLE(tbl_pros[RowId]))</f>
        <v>1</v>
      </c>
    </row>
    <row r="250" spans="10:44">
      <c r="J250" s="4">
        <v>240</v>
      </c>
      <c r="K250" s="20" t="s">
        <v>37</v>
      </c>
      <c r="L250" s="2" t="s">
        <v>571</v>
      </c>
      <c r="M250" s="4">
        <v>1</v>
      </c>
      <c r="N250" s="4" t="s">
        <v>572</v>
      </c>
      <c r="O250" s="21" t="str">
        <f>HYPERLINK("obsidian://open?vault=o2&amp;file=Flat%20Icon%20and%20Shadow%20Using%20The%20Blend%20Tool%20In%20Adobe%20Illustrator.md","Flat Icon and Shadow Using The Blend Tool In Adobe Illustrator")</f>
        <v>Flat Icon and Shadow Using The Blend Tool In Adobe Illustrator</v>
      </c>
      <c r="P250" s="11" t="s">
        <v>175</v>
      </c>
      <c r="AR250" s="11">
        <f>SUBTOTAL(3,_xlfn.SINGLE(tbl_pros[RowId]))</f>
        <v>1</v>
      </c>
    </row>
    <row r="251" spans="10:44">
      <c r="J251" s="4">
        <v>241</v>
      </c>
      <c r="K251" s="20" t="s">
        <v>37</v>
      </c>
      <c r="L251" s="2" t="s">
        <v>573</v>
      </c>
      <c r="M251" s="4">
        <v>1</v>
      </c>
      <c r="N251" s="4" t="s">
        <v>574</v>
      </c>
      <c r="O251" s="21" t="str">
        <f>HYPERLINK("obsidian://open?vault=o2&amp;file=Windows%2010%20and%2011%20Wont%20Boot%2C%20How%20To%20Fix%20UEFI%20Partition.md","Windows 10 and 11 Wont Boot, How To Fix UEFI Partition")</f>
        <v>Windows 10 and 11 Wont Boot, How To Fix UEFI Partition</v>
      </c>
      <c r="P251" s="11" t="s">
        <v>175</v>
      </c>
      <c r="AR251" s="11">
        <f>SUBTOTAL(3,_xlfn.SINGLE(tbl_pros[RowId]))</f>
        <v>1</v>
      </c>
    </row>
    <row r="252" spans="10:44">
      <c r="J252" s="4">
        <v>242</v>
      </c>
      <c r="K252" s="20" t="s">
        <v>37</v>
      </c>
      <c r="L252" s="2" t="s">
        <v>575</v>
      </c>
      <c r="M252" s="4">
        <v>1</v>
      </c>
      <c r="N252" s="4" t="s">
        <v>576</v>
      </c>
      <c r="O252" s="21" t="str">
        <f>HYPERLINK("obsidian://open?vault=o2&amp;file=I%20Made%20an%20App%20that%20KEEPS%20Windows%2011%20Debloated%20%26%20Optimized.md","I Made an App that KEEPS Windows 11 Debloated &amp; Optimized")</f>
        <v>I Made an App that KEEPS Windows 11 Debloated &amp; Optimized</v>
      </c>
      <c r="P252" s="11" t="s">
        <v>175</v>
      </c>
      <c r="AR252" s="11">
        <f>SUBTOTAL(3,_xlfn.SINGLE(tbl_pros[RowId]))</f>
        <v>1</v>
      </c>
    </row>
    <row r="253" spans="10:44">
      <c r="J253" s="4">
        <v>243</v>
      </c>
      <c r="K253" s="20" t="s">
        <v>37</v>
      </c>
      <c r="L253" s="2" t="s">
        <v>577</v>
      </c>
      <c r="M253" s="4">
        <v>1</v>
      </c>
      <c r="N253" s="4" t="s">
        <v>578</v>
      </c>
      <c r="O253" s="21" t="str">
        <f>HYPERLINK("obsidian://open?vault=o2&amp;file=22%20FREE%20Windows%20Utilities%20EVERY%20User%20MUST%20Know%20About%21.md","22 FREE Windows Utilities EVERY User MUST Know About!")</f>
        <v>22 FREE Windows Utilities EVERY User MUST Know About!</v>
      </c>
      <c r="P253" s="11" t="s">
        <v>175</v>
      </c>
      <c r="AR253" s="11">
        <f>SUBTOTAL(3,_xlfn.SINGLE(tbl_pros[RowId]))</f>
        <v>1</v>
      </c>
    </row>
    <row r="254" spans="10:44">
      <c r="J254" s="4">
        <v>244</v>
      </c>
      <c r="K254" s="20" t="s">
        <v>37</v>
      </c>
      <c r="L254" s="2" t="s">
        <v>579</v>
      </c>
      <c r="M254" s="4">
        <v>1</v>
      </c>
      <c r="N254" s="4" t="s">
        <v>580</v>
      </c>
      <c r="O254" s="21" t="str">
        <f>HYPERLINK("obsidian://open?vault=o2&amp;file=20%20AMAZING%20Art%20Workspace%20Hacks%20%28FREE%20or%20cheap%21%29.md","20 AMAZING Art Workspace Hacks (FREE or cheap!)")</f>
        <v>20 AMAZING Art Workspace Hacks (FREE or cheap!)</v>
      </c>
      <c r="P254" s="11" t="s">
        <v>175</v>
      </c>
      <c r="AR254" s="11">
        <f>SUBTOTAL(3,_xlfn.SINGLE(tbl_pros[RowId]))</f>
        <v>1</v>
      </c>
    </row>
    <row r="255" spans="10:44">
      <c r="J255" s="4">
        <v>245</v>
      </c>
      <c r="K255" s="20" t="s">
        <v>37</v>
      </c>
      <c r="L255" s="2" t="s">
        <v>581</v>
      </c>
      <c r="M255" s="4">
        <v>1</v>
      </c>
      <c r="N255" s="4" t="s">
        <v>582</v>
      </c>
      <c r="O255" s="21" t="str">
        <f>HYPERLINK("obsidian://open?vault=o2&amp;file=8%20Easy%20Food%20Plating%20Hacks%20That%20Will%20Blow%20You%20Away.md","8 Easy Food Plating Hacks That Will Blow You Away")</f>
        <v>8 Easy Food Plating Hacks That Will Blow You Away</v>
      </c>
      <c r="P255" s="11" t="s">
        <v>175</v>
      </c>
      <c r="AR255" s="11">
        <f>SUBTOTAL(3,_xlfn.SINGLE(tbl_pros[RowId]))</f>
        <v>1</v>
      </c>
    </row>
    <row r="256" spans="10:44">
      <c r="J256" s="4">
        <v>246</v>
      </c>
      <c r="K256" s="20" t="s">
        <v>37</v>
      </c>
      <c r="L256" s="2" t="s">
        <v>583</v>
      </c>
      <c r="M256" s="4">
        <v>1</v>
      </c>
      <c r="N256" s="4" t="s">
        <v>584</v>
      </c>
      <c r="O25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P256" s="11" t="s">
        <v>175</v>
      </c>
      <c r="AR256" s="11">
        <f>SUBTOTAL(3,_xlfn.SINGLE(tbl_pros[RowId]))</f>
        <v>1</v>
      </c>
    </row>
    <row r="257" spans="10:44">
      <c r="J257" s="4">
        <v>247</v>
      </c>
      <c r="K257" s="20" t="s">
        <v>37</v>
      </c>
      <c r="L257" s="2" t="s">
        <v>585</v>
      </c>
      <c r="M257" s="4">
        <v>1</v>
      </c>
      <c r="N257" s="4" t="s">
        <v>586</v>
      </c>
      <c r="O257" s="21" t="str">
        <f>HYPERLINK("obsidian://open?vault=o2&amp;file=How%20I%20Would%20Learn%20Obsidian%20MD%20%28If%20I%20could%20start%20over%29.md","How I Would Learn Obsidian MD (If I could start over)")</f>
        <v>How I Would Learn Obsidian MD (If I could start over)</v>
      </c>
      <c r="P257" s="11" t="s">
        <v>175</v>
      </c>
      <c r="AR257" s="11">
        <f>SUBTOTAL(3,_xlfn.SINGLE(tbl_pros[RowId]))</f>
        <v>1</v>
      </c>
    </row>
    <row r="258" spans="10:44">
      <c r="J258" s="4">
        <v>248</v>
      </c>
      <c r="K258" s="20" t="s">
        <v>37</v>
      </c>
      <c r="L258" s="2" t="s">
        <v>587</v>
      </c>
      <c r="M258" s="4">
        <v>1</v>
      </c>
      <c r="N258" s="4" t="s">
        <v>588</v>
      </c>
      <c r="O258" s="21" t="str">
        <f>HYPERLINK("obsidian://open?vault=o2&amp;file=The%20Food%20Expiration%20Dates%20You%20Should%20Actually%20Follow.md","The Food Expiration Dates You Should Actually Follow")</f>
        <v>The Food Expiration Dates You Should Actually Follow</v>
      </c>
      <c r="P258" s="11" t="s">
        <v>175</v>
      </c>
      <c r="AR258" s="11">
        <f>SUBTOTAL(3,_xlfn.SINGLE(tbl_pros[RowId]))</f>
        <v>1</v>
      </c>
    </row>
    <row r="259" spans="10:44">
      <c r="J259" s="4">
        <v>249</v>
      </c>
      <c r="K259" s="20" t="s">
        <v>37</v>
      </c>
      <c r="L259" s="2" t="s">
        <v>589</v>
      </c>
      <c r="M259" s="4">
        <v>1</v>
      </c>
      <c r="N259" s="4" t="s">
        <v>590</v>
      </c>
      <c r="O259"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P259" s="11" t="s">
        <v>175</v>
      </c>
      <c r="AR259" s="11">
        <f>SUBTOTAL(3,_xlfn.SINGLE(tbl_pros[RowId]))</f>
        <v>1</v>
      </c>
    </row>
    <row r="260" spans="10:44">
      <c r="J260" s="4">
        <v>250</v>
      </c>
      <c r="K260" s="20" t="s">
        <v>37</v>
      </c>
      <c r="L260" s="2" t="s">
        <v>591</v>
      </c>
      <c r="M260" s="4">
        <v>1</v>
      </c>
      <c r="N260" s="4" t="s">
        <v>592</v>
      </c>
      <c r="O260" s="21" t="str">
        <f>HYPERLINK("obsidian://open?vault=o2&amp;file=Better%20Than%20Grandmas%20Dinner%21%20My%20Parents%20Were%20Stunned%20After%20Trying%20It%21%21%21.md","Better Than Grandmas Dinner! My Parents Were Stunned After Trying It!!!")</f>
        <v>Better Than Grandmas Dinner! My Parents Were Stunned After Trying It!!!</v>
      </c>
      <c r="P260" s="11" t="s">
        <v>175</v>
      </c>
      <c r="AR260" s="11">
        <f>SUBTOTAL(3,_xlfn.SINGLE(tbl_pros[RowId]))</f>
        <v>1</v>
      </c>
    </row>
    <row r="261" spans="10:44">
      <c r="J261" s="4">
        <v>251</v>
      </c>
      <c r="K261" s="20" t="s">
        <v>37</v>
      </c>
      <c r="L261" s="2" t="s">
        <v>593</v>
      </c>
      <c r="M261" s="4">
        <v>1</v>
      </c>
      <c r="N261" s="4" t="s">
        <v>594</v>
      </c>
      <c r="O261"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261" s="11" t="s">
        <v>175</v>
      </c>
      <c r="AR261" s="11">
        <f>SUBTOTAL(3,_xlfn.SINGLE(tbl_pros[RowId]))</f>
        <v>1</v>
      </c>
    </row>
    <row r="262" spans="10:44">
      <c r="J262" s="4">
        <v>252</v>
      </c>
      <c r="K262" s="20" t="s">
        <v>37</v>
      </c>
      <c r="L262" s="2" t="s">
        <v>595</v>
      </c>
      <c r="M262" s="4">
        <v>2</v>
      </c>
      <c r="N262" s="4" t="s">
        <v>596</v>
      </c>
      <c r="O262" s="21" t="str">
        <f>HYPERLINK("obsidian://open?vault=o2&amp;file=Architects%205%20Step%20Desk%20Setup%20Makeover.md","Architects 5 Step Desk Setup Makeover")</f>
        <v>Architects 5 Step Desk Setup Makeover</v>
      </c>
      <c r="P262" s="11" t="s">
        <v>175</v>
      </c>
      <c r="Q262" s="21" t="str">
        <f>HYPERLINK("obsidian://open?vault=o2&amp;file=How%20To%20Hide%20Wires%20Behind%20Wall%20-%20NO%20DRYWALL%20REPAIR%20NEEDED%20Hiding%20Wires.md","How To Hide Wires Behind Wall - NO DRYWALL REPAIR NEEDED Hiding Wires")</f>
        <v>How To Hide Wires Behind Wall - NO DRYWALL REPAIR NEEDED Hiding Wires</v>
      </c>
      <c r="R262" s="11" t="s">
        <v>175</v>
      </c>
      <c r="AR262" s="11">
        <f>SUBTOTAL(3,_xlfn.SINGLE(tbl_pros[RowId]))</f>
        <v>1</v>
      </c>
    </row>
    <row r="263" spans="10:44">
      <c r="J263" s="4">
        <v>253</v>
      </c>
      <c r="K263" s="20" t="s">
        <v>39</v>
      </c>
      <c r="L263" s="2" t="s">
        <v>597</v>
      </c>
      <c r="M263" s="4">
        <v>1</v>
      </c>
      <c r="N263" s="4" t="s">
        <v>598</v>
      </c>
      <c r="O263" s="21" t="str">
        <f>HYPERLINK("obsidian://open?vault=o2&amp;file=Roboform%20License.md","Roboform License")</f>
        <v>Roboform License</v>
      </c>
      <c r="P263" s="11" t="s">
        <v>175</v>
      </c>
      <c r="AR263" s="11">
        <f>SUBTOTAL(3,_xlfn.SINGLE(tbl_pros[RowId]))</f>
        <v>1</v>
      </c>
    </row>
    <row r="264" spans="10:44">
      <c r="J264" s="4">
        <v>254</v>
      </c>
      <c r="K264" s="20" t="s">
        <v>41</v>
      </c>
      <c r="L264" s="2" t="s">
        <v>599</v>
      </c>
      <c r="M264" s="4">
        <v>2</v>
      </c>
      <c r="N264" s="4" t="s">
        <v>600</v>
      </c>
      <c r="O264" s="21" t="str">
        <f>HYPERLINK("obsidian://open?vault=o2&amp;file=peepsTemplate.md","peepsTemplate")</f>
        <v>peepsTemplate</v>
      </c>
      <c r="P264" s="11" t="s">
        <v>175</v>
      </c>
      <c r="Q264" s="21" t="str">
        <f>HYPERLINK("obsidian://open?vault=o2&amp;file=peepsTemplatetest1.md","peepsTemplatetest1")</f>
        <v>peepsTemplatetest1</v>
      </c>
      <c r="R264" s="11" t="s">
        <v>175</v>
      </c>
      <c r="AR264" s="11">
        <f>SUBTOTAL(3,_xlfn.SINGLE(tbl_pros[RowId]))</f>
        <v>1</v>
      </c>
    </row>
    <row r="265" spans="10:44">
      <c r="J265" s="4">
        <v>255</v>
      </c>
      <c r="K265" s="20" t="s">
        <v>41</v>
      </c>
      <c r="L265" s="2" t="s">
        <v>601</v>
      </c>
      <c r="M265" s="4">
        <v>1</v>
      </c>
      <c r="N265" s="4" t="s">
        <v>602</v>
      </c>
      <c r="O265" s="21" t="str">
        <f>HYPERLINK("obsidian://open?vault=o2&amp;file=personsTemplate.md","personsTemplate")</f>
        <v>personsTemplate</v>
      </c>
      <c r="P265" s="11" t="s">
        <v>175</v>
      </c>
      <c r="AR265" s="11">
        <f>SUBTOTAL(3,_xlfn.SINGLE(tbl_pros[RowId]))</f>
        <v>1</v>
      </c>
    </row>
    <row r="266" spans="10:44">
      <c r="J266" s="4">
        <v>256</v>
      </c>
      <c r="K266" s="20" t="s">
        <v>43</v>
      </c>
      <c r="L266" s="22">
        <v>44305</v>
      </c>
      <c r="M266" s="4">
        <v>1</v>
      </c>
      <c r="N266" s="4" t="s">
        <v>603</v>
      </c>
      <c r="O266" s="21" t="str">
        <f>HYPERLINK("obsidian://open?vault=o2&amp;file=%F0%9F%93%9A%20How%20To%20Take%20Smart%20Notes.md","📚 How To Take Smart Notes")</f>
        <v>📚 How To Take Smart Notes</v>
      </c>
      <c r="P266" s="11" t="s">
        <v>175</v>
      </c>
      <c r="AR266" s="11">
        <f>SUBTOTAL(3,_xlfn.SINGLE(tbl_pros[RowId]))</f>
        <v>1</v>
      </c>
    </row>
    <row r="267" spans="10:44">
      <c r="J267" s="4">
        <v>257</v>
      </c>
      <c r="K267" s="20" t="s">
        <v>43</v>
      </c>
      <c r="L267" s="22">
        <v>44741</v>
      </c>
      <c r="M267" s="4">
        <v>1</v>
      </c>
      <c r="N267" s="4" t="s">
        <v>604</v>
      </c>
      <c r="O267" s="21" t="str">
        <f>HYPERLINK("obsidian://open?vault=o2&amp;file=%F0%9F%93%9A%20Johns%20Building%20a%20Second%20Brain.md","📚 Johns Building a Second Brain")</f>
        <v>📚 Johns Building a Second Brain</v>
      </c>
      <c r="P267" s="11" t="s">
        <v>175</v>
      </c>
      <c r="AR267" s="11">
        <f>SUBTOTAL(3,_xlfn.SINGLE(tbl_pros[RowId]))</f>
        <v>1</v>
      </c>
    </row>
    <row r="268" spans="10:44">
      <c r="J268" s="4">
        <v>258</v>
      </c>
      <c r="K268" s="20" t="s">
        <v>43</v>
      </c>
      <c r="L268" s="22">
        <v>44885</v>
      </c>
      <c r="M268" s="4">
        <v>1</v>
      </c>
      <c r="N268" s="4" t="s">
        <v>605</v>
      </c>
      <c r="O268" s="21" t="str">
        <f>HYPERLINK("obsidian://open?vault=o2&amp;file=%F0%9F%93%A5%20Konik%20Method%20for%20Making%20Useful%20Notes.md","📥 Konik Method for Making Useful Notes")</f>
        <v>📥 Konik Method for Making Useful Notes</v>
      </c>
      <c r="P268" s="11" t="s">
        <v>175</v>
      </c>
      <c r="AR268" s="11">
        <f>SUBTOTAL(3,_xlfn.SINGLE(tbl_pros[RowId]))</f>
        <v>1</v>
      </c>
    </row>
    <row r="269" spans="10:44">
      <c r="J269" s="4">
        <v>259</v>
      </c>
      <c r="K269" s="20" t="s">
        <v>43</v>
      </c>
      <c r="L269" s="2"/>
      <c r="M269" s="4">
        <v>1</v>
      </c>
      <c r="N269" s="4" t="s">
        <v>606</v>
      </c>
      <c r="O269" s="21" t="str">
        <f>HYPERLINK("obsidian://open?vault=o2&amp;file=My%20Clean%2C%20Modern%20Desk%20Setup%20for%20Productivity%20%26%20Creativity.md","My Clean, Modern Desk Setup for Productivity &amp; Creativity")</f>
        <v>My Clean, Modern Desk Setup for Productivity &amp; Creativity</v>
      </c>
      <c r="P269" s="11" t="s">
        <v>175</v>
      </c>
      <c r="AR269" s="11">
        <f>SUBTOTAL(3,_xlfn.SINGLE(tbl_pros[RowId]))</f>
        <v>1</v>
      </c>
    </row>
    <row r="270" spans="10:44">
      <c r="J270" s="4">
        <v>260</v>
      </c>
      <c r="K270" s="20" t="s">
        <v>43</v>
      </c>
      <c r="L270" s="22">
        <v>45633</v>
      </c>
      <c r="M270" s="4">
        <v>1</v>
      </c>
      <c r="N270" s="4" t="s">
        <v>607</v>
      </c>
      <c r="O270" s="21" t="str">
        <f>HYPERLINK("obsidian://open?vault=o2&amp;file=Windows%2010%20and%2011%20Wont%20Boot%2C%20How%20To%20Fix%20UEFI%20Partition.md","Windows 10 and 11 Wont Boot, How To Fix UEFI Partition")</f>
        <v>Windows 10 and 11 Wont Boot, How To Fix UEFI Partition</v>
      </c>
      <c r="P270" s="11" t="s">
        <v>175</v>
      </c>
      <c r="AR270" s="11">
        <f>SUBTOTAL(3,_xlfn.SINGLE(tbl_pros[RowId]))</f>
        <v>1</v>
      </c>
    </row>
    <row r="271" spans="10:44">
      <c r="J271" s="4">
        <v>261</v>
      </c>
      <c r="K271" s="20" t="s">
        <v>44</v>
      </c>
      <c r="L271" s="2" t="s">
        <v>608</v>
      </c>
      <c r="M271" s="4">
        <v>1</v>
      </c>
      <c r="N271" s="4" t="s">
        <v>609</v>
      </c>
      <c r="O271" s="21" t="str">
        <f>HYPERLINK("obsidian://open?vault=o2&amp;file=projects.md","projects")</f>
        <v>projects</v>
      </c>
      <c r="P271" s="11" t="s">
        <v>175</v>
      </c>
      <c r="AR271" s="11">
        <f>SUBTOTAL(3,_xlfn.SINGLE(tbl_pros[RowId]))</f>
        <v>1</v>
      </c>
    </row>
    <row r="272" spans="10:44">
      <c r="J272" s="4">
        <v>262</v>
      </c>
      <c r="K272" s="20" t="s">
        <v>45</v>
      </c>
      <c r="L272" s="2" t="s">
        <v>610</v>
      </c>
      <c r="M272" s="4">
        <v>1</v>
      </c>
      <c r="N272" s="4" t="s">
        <v>611</v>
      </c>
      <c r="O272"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P272" s="11" t="s">
        <v>175</v>
      </c>
      <c r="AR272" s="11">
        <f>SUBTOTAL(3,_xlfn.SINGLE(tbl_pros[RowId]))</f>
        <v>1</v>
      </c>
    </row>
    <row r="273" spans="10:44">
      <c r="J273" s="4">
        <v>263</v>
      </c>
      <c r="K273" s="20" t="s">
        <v>45</v>
      </c>
      <c r="L273" s="2" t="s">
        <v>612</v>
      </c>
      <c r="M273" s="4">
        <v>1</v>
      </c>
      <c r="N273" s="4" t="s">
        <v>613</v>
      </c>
      <c r="O273" s="21" t="str">
        <f>HYPERLINK("obsidian://open?vault=o2&amp;file=The%20Perfect%20Diane%20Sauce%20-%20Chicken%20Diane%20%20Chef%20Jean-Pierre.md","The Perfect Diane Sauce - Chicken Diane  Chef Jean-Pierre")</f>
        <v>The Perfect Diane Sauce - Chicken Diane  Chef Jean-Pierre</v>
      </c>
      <c r="P273" s="11" t="s">
        <v>175</v>
      </c>
      <c r="AR273" s="11">
        <f>SUBTOTAL(3,_xlfn.SINGLE(tbl_pros[RowId]))</f>
        <v>1</v>
      </c>
    </row>
    <row r="274" spans="10:44">
      <c r="J274" s="4">
        <v>264</v>
      </c>
      <c r="K274" s="20" t="s">
        <v>45</v>
      </c>
      <c r="L274" s="2" t="s">
        <v>614</v>
      </c>
      <c r="M274" s="4">
        <v>1</v>
      </c>
      <c r="N274" s="4" t="s">
        <v>615</v>
      </c>
      <c r="O274"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274" s="11" t="s">
        <v>175</v>
      </c>
      <c r="AR274" s="11">
        <f>SUBTOTAL(3,_xlfn.SINGLE(tbl_pros[RowId]))</f>
        <v>1</v>
      </c>
    </row>
    <row r="275" spans="10:44">
      <c r="J275" s="4">
        <v>265</v>
      </c>
      <c r="K275" s="20" t="s">
        <v>45</v>
      </c>
      <c r="L275" s="2" t="s">
        <v>616</v>
      </c>
      <c r="M275" s="4">
        <v>1</v>
      </c>
      <c r="N275" s="4" t="s">
        <v>617</v>
      </c>
      <c r="O275" s="21" t="str">
        <f>HYPERLINK("obsidian://open?vault=o2&amp;file=Flat%20Icon%20and%20Shadow%20Using%20The%20Blend%20Tool%20In%20Adobe%20Illustrator.md","Flat Icon and Shadow Using The Blend Tool In Adobe Illustrator")</f>
        <v>Flat Icon and Shadow Using The Blend Tool In Adobe Illustrator</v>
      </c>
      <c r="P275" s="11" t="s">
        <v>175</v>
      </c>
      <c r="AR275" s="11">
        <f>SUBTOTAL(3,_xlfn.SINGLE(tbl_pros[RowId]))</f>
        <v>1</v>
      </c>
    </row>
    <row r="276" spans="10:44">
      <c r="J276" s="4">
        <v>266</v>
      </c>
      <c r="K276" s="20" t="s">
        <v>45</v>
      </c>
      <c r="L276" s="2" t="s">
        <v>618</v>
      </c>
      <c r="M276" s="4">
        <v>1</v>
      </c>
      <c r="N276" s="4" t="s">
        <v>619</v>
      </c>
      <c r="O276" s="21" t="str">
        <f>HYPERLINK("obsidian://open?vault=o2&amp;file=Better%20Than%20Grandmas%20Dinner%21%20My%20Parents%20Were%20Stunned%20After%20Trying%20It%21%21%21.md","Better Than Grandmas Dinner! My Parents Were Stunned After Trying It!!!")</f>
        <v>Better Than Grandmas Dinner! My Parents Were Stunned After Trying It!!!</v>
      </c>
      <c r="P276" s="11" t="s">
        <v>175</v>
      </c>
      <c r="AR276" s="11">
        <f>SUBTOTAL(3,_xlfn.SINGLE(tbl_pros[RowId]))</f>
        <v>1</v>
      </c>
    </row>
    <row r="277" spans="10:44">
      <c r="J277" s="4">
        <v>267</v>
      </c>
      <c r="K277" s="20" t="s">
        <v>45</v>
      </c>
      <c r="L277" s="2" t="s">
        <v>620</v>
      </c>
      <c r="M277" s="4">
        <v>1</v>
      </c>
      <c r="N277" s="4" t="s">
        <v>621</v>
      </c>
      <c r="O277" s="21" t="str">
        <f>HYPERLINK("obsidian://open?vault=o2&amp;file=8%20Easy%20Food%20Plating%20Hacks%20That%20Will%20Blow%20You%20Away.md","8 Easy Food Plating Hacks That Will Blow You Away")</f>
        <v>8 Easy Food Plating Hacks That Will Blow You Away</v>
      </c>
      <c r="P277" s="11" t="s">
        <v>175</v>
      </c>
      <c r="AR277" s="11">
        <f>SUBTOTAL(3,_xlfn.SINGLE(tbl_pros[RowId]))</f>
        <v>1</v>
      </c>
    </row>
    <row r="278" spans="10:44">
      <c r="J278" s="4">
        <v>268</v>
      </c>
      <c r="K278" s="20" t="s">
        <v>45</v>
      </c>
      <c r="L278" s="2" t="s">
        <v>622</v>
      </c>
      <c r="M278" s="4">
        <v>1</v>
      </c>
      <c r="N278" s="4" t="s">
        <v>623</v>
      </c>
      <c r="O278" s="21" t="str">
        <f>HYPERLINK("obsidian://open?vault=o2&amp;file=Free%20Lightroom%20Tutorial%20%20Adobe%20Lightroom%20Essentials%20Training%20Course.md","Free Lightroom Tutorial  Adobe Lightroom Essentials Training Course")</f>
        <v>Free Lightroom Tutorial  Adobe Lightroom Essentials Training Course</v>
      </c>
      <c r="P278" s="11" t="s">
        <v>175</v>
      </c>
      <c r="AR278" s="11">
        <f>SUBTOTAL(3,_xlfn.SINGLE(tbl_pros[RowId]))</f>
        <v>1</v>
      </c>
    </row>
    <row r="279" spans="10:44">
      <c r="J279" s="4">
        <v>269</v>
      </c>
      <c r="K279" s="20" t="s">
        <v>46</v>
      </c>
      <c r="L279" s="2" t="s">
        <v>624</v>
      </c>
      <c r="M279" s="4">
        <v>1</v>
      </c>
      <c r="N279" s="4" t="s">
        <v>625</v>
      </c>
      <c r="O279" s="21" t="str">
        <f>HYPERLINK("obsidian://open?vault=o2&amp;file=17%20Habits%20of%20the%20Self-Destructive%20Person%20%28%2B%20How%20to%20Stop%29.md","17 Habits of the Self-Destructive Person (+ How to Stop)")</f>
        <v>17 Habits of the Self-Destructive Person (+ How to Stop)</v>
      </c>
      <c r="P279" s="11" t="s">
        <v>175</v>
      </c>
      <c r="AR279" s="11">
        <f>SUBTOTAL(3,_xlfn.SINGLE(tbl_pros[RowId]))</f>
        <v>1</v>
      </c>
    </row>
    <row r="280" spans="10:44">
      <c r="J280" s="4">
        <v>270</v>
      </c>
      <c r="K280" s="20" t="s">
        <v>46</v>
      </c>
      <c r="L280" s="2" t="s">
        <v>626</v>
      </c>
      <c r="M280" s="4">
        <v>1</v>
      </c>
      <c r="N280" s="4" t="s">
        <v>627</v>
      </c>
      <c r="O280" s="21" t="str">
        <f>HYPERLINK("obsidian://open?vault=o2&amp;file=2022%E2%80%99s%20seismic%20shift%20in%20US%20tech%20policy%20will%20change%20how%20we%20innovate.md","2022’s seismic shift in US tech policy will change how we innovate")</f>
        <v>2022’s seismic shift in US tech policy will change how we innovate</v>
      </c>
      <c r="P280" s="11" t="s">
        <v>175</v>
      </c>
      <c r="AR280" s="11">
        <f>SUBTOTAL(3,_xlfn.SINGLE(tbl_pros[RowId]))</f>
        <v>1</v>
      </c>
    </row>
    <row r="281" spans="10:44">
      <c r="J281" s="4">
        <v>271</v>
      </c>
      <c r="K281" s="20" t="s">
        <v>46</v>
      </c>
      <c r="L281" s="2" t="s">
        <v>628</v>
      </c>
      <c r="M281" s="4">
        <v>1</v>
      </c>
      <c r="N281" s="4" t="s">
        <v>629</v>
      </c>
      <c r="O281" s="21" t="str">
        <f>HYPERLINK("obsidian://open?vault=o2&amp;file=6%20Best%20Cheap%20Web%20Hosting%20Services%20%28Current%20Deals%29.md","6 Best Cheap Web Hosting Services (Current Deals)")</f>
        <v>6 Best Cheap Web Hosting Services (Current Deals)</v>
      </c>
      <c r="P281" s="11" t="s">
        <v>175</v>
      </c>
      <c r="AR281" s="11">
        <f>SUBTOTAL(3,_xlfn.SINGLE(tbl_pros[RowId]))</f>
        <v>1</v>
      </c>
    </row>
    <row r="282" spans="10:44">
      <c r="J282" s="4">
        <v>272</v>
      </c>
      <c r="K282" s="20" t="s">
        <v>46</v>
      </c>
      <c r="L282" s="2"/>
      <c r="M282" s="4">
        <v>4</v>
      </c>
      <c r="N282" s="4" t="s">
        <v>630</v>
      </c>
      <c r="O282" s="21" t="str">
        <f>HYPERLINK("obsidian://open?vault=o2&amp;file=CategorySVG%20by%20subject%20-%20Wikimedia%20Commons.md","CategorySVG by subject - Wikimedia Commons")</f>
        <v>CategorySVG by subject - Wikimedia Commons</v>
      </c>
      <c r="P282" s="11" t="s">
        <v>175</v>
      </c>
      <c r="Q282" s="21" t="str">
        <f>HYPERLINK("obsidian://open?vault=o2&amp;file=rAutoHotkey%20-%20Unicode%20fractions.md","rAutoHotkey - Unicode fractions")</f>
        <v>rAutoHotkey - Unicode fractions</v>
      </c>
      <c r="R282" s="11" t="s">
        <v>175</v>
      </c>
      <c r="S282" s="21" t="str">
        <f>HYPERLINK("obsidian://open?vault=o2&amp;file=Hotel%20Parkerson%20%20OBX%20Connection%20Message%20Board.md","Hotel Parkerson  OBX Connection Message Board")</f>
        <v>Hotel Parkerson  OBX Connection Message Board</v>
      </c>
      <c r="T282" s="11" t="s">
        <v>175</v>
      </c>
      <c r="U282" s="21" t="str">
        <f>HYPERLINK("obsidian://open?vault=o2&amp;file=Random%20packages%20from%20Walmart.md","Random packages from Walmart")</f>
        <v>Random packages from Walmart</v>
      </c>
      <c r="V282" s="11" t="s">
        <v>175</v>
      </c>
      <c r="AR282" s="11">
        <f>SUBTOTAL(3,_xlfn.SINGLE(tbl_pros[RowId]))</f>
        <v>1</v>
      </c>
    </row>
    <row r="283" spans="10:44">
      <c r="J283" s="4">
        <v>273</v>
      </c>
      <c r="K283" s="20" t="s">
        <v>46</v>
      </c>
      <c r="L283" s="2" t="s">
        <v>631</v>
      </c>
      <c r="M283" s="4">
        <v>1</v>
      </c>
      <c r="N283" s="4" t="s">
        <v>632</v>
      </c>
      <c r="O283" s="21" t="str">
        <f>HYPERLINK("obsidian://open?vault=o2&amp;file=How%20To%20Cook%20a%20Chicken%20Breast%20-%20FlavCity%20with%20Bobby%20Parrish.md","How To Cook a Chicken Breast - FlavCity with Bobby Parrish")</f>
        <v>How To Cook a Chicken Breast - FlavCity with Bobby Parrish</v>
      </c>
      <c r="P283" s="11" t="s">
        <v>175</v>
      </c>
      <c r="AR283" s="11">
        <f>SUBTOTAL(3,_xlfn.SINGLE(tbl_pros[RowId]))</f>
        <v>1</v>
      </c>
    </row>
    <row r="284" spans="10:44">
      <c r="J284" s="4">
        <v>274</v>
      </c>
      <c r="K284" s="20" t="s">
        <v>46</v>
      </c>
      <c r="L284" s="2" t="s">
        <v>633</v>
      </c>
      <c r="M284" s="4">
        <v>1</v>
      </c>
      <c r="N284" s="4" t="s">
        <v>634</v>
      </c>
      <c r="O284" s="21" t="str">
        <f>HYPERLINK("obsidian://open?vault=o2&amp;file=Putting%20a%20HALT%20to%20our%20Self-Destructive%20Behaviors%20-%20Pine%20Rest%20Newsroom.md","Putting a HALT to our Self-Destructive Behaviors - Pine Rest Newsroom")</f>
        <v>Putting a HALT to our Self-Destructive Behaviors - Pine Rest Newsroom</v>
      </c>
      <c r="P284" s="11" t="s">
        <v>175</v>
      </c>
      <c r="AR284" s="11">
        <f>SUBTOTAL(3,_xlfn.SINGLE(tbl_pros[RowId]))</f>
        <v>1</v>
      </c>
    </row>
    <row r="285" spans="10:44">
      <c r="J285" s="4">
        <v>275</v>
      </c>
      <c r="K285" s="20" t="s">
        <v>46</v>
      </c>
      <c r="L285" s="2" t="s">
        <v>635</v>
      </c>
      <c r="M285" s="4">
        <v>1</v>
      </c>
      <c r="N285" s="4" t="s">
        <v>636</v>
      </c>
      <c r="O285" s="21" t="str">
        <f>HYPERLINK("obsidian://open?vault=o2&amp;file=The%20Food%20Expiration%20Dates%20You%20Should%20Actually%20Follow.md","The Food Expiration Dates You Should Actually Follow")</f>
        <v>The Food Expiration Dates You Should Actually Follow</v>
      </c>
      <c r="P285" s="11" t="s">
        <v>175</v>
      </c>
      <c r="AR285" s="11">
        <f>SUBTOTAL(3,_xlfn.SINGLE(tbl_pros[RowId]))</f>
        <v>1</v>
      </c>
    </row>
    <row r="286" spans="10:44">
      <c r="J286" s="4">
        <v>276</v>
      </c>
      <c r="K286" s="20" t="s">
        <v>46</v>
      </c>
      <c r="L286" s="2" t="s">
        <v>637</v>
      </c>
      <c r="M286" s="4">
        <v>1</v>
      </c>
      <c r="N286" s="4" t="s">
        <v>638</v>
      </c>
      <c r="O286" s="21" t="str">
        <f>HYPERLINK("obsidian://open?vault=o2&amp;file=Watercolor%20Artist.md","Watercolor Artist")</f>
        <v>Watercolor Artist</v>
      </c>
      <c r="P286" s="11" t="s">
        <v>175</v>
      </c>
      <c r="AR286" s="11">
        <f>SUBTOTAL(3,_xlfn.SINGLE(tbl_pros[RowId]))</f>
        <v>1</v>
      </c>
    </row>
    <row r="287" spans="10:44">
      <c r="J287" s="4">
        <v>277</v>
      </c>
      <c r="K287" s="20" t="s">
        <v>46</v>
      </c>
      <c r="L287" s="2" t="s">
        <v>639</v>
      </c>
      <c r="M287" s="4">
        <v>1</v>
      </c>
      <c r="N287" s="4" t="s">
        <v>640</v>
      </c>
      <c r="O287" s="21" t="str">
        <f>HYPERLINK("obsidian://open?vault=o2&amp;file=13%20Crucial%20Questions%20to%20Ask%20a%20Realtor%20When%20Selling.md","13 Crucial Questions to Ask a Realtor When Selling")</f>
        <v>13 Crucial Questions to Ask a Realtor When Selling</v>
      </c>
      <c r="P287" s="11" t="s">
        <v>175</v>
      </c>
      <c r="AR287" s="11">
        <f>SUBTOTAL(3,_xlfn.SINGLE(tbl_pros[RowId]))</f>
        <v>1</v>
      </c>
    </row>
    <row r="288" spans="10:44">
      <c r="J288" s="4">
        <v>278</v>
      </c>
      <c r="K288" s="20" t="s">
        <v>46</v>
      </c>
      <c r="L288" s="2" t="s">
        <v>641</v>
      </c>
      <c r="M288" s="4">
        <v>1</v>
      </c>
      <c r="N288" s="4" t="s">
        <v>642</v>
      </c>
      <c r="O288"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P288" s="11" t="s">
        <v>175</v>
      </c>
      <c r="AR288" s="11">
        <f>SUBTOTAL(3,_xlfn.SINGLE(tbl_pros[RowId]))</f>
        <v>1</v>
      </c>
    </row>
    <row r="289" spans="10:44">
      <c r="J289" s="4">
        <v>279</v>
      </c>
      <c r="K289" s="20" t="s">
        <v>46</v>
      </c>
      <c r="L289" s="2" t="s">
        <v>643</v>
      </c>
      <c r="M289" s="4">
        <v>1</v>
      </c>
      <c r="N289" s="4" t="s">
        <v>644</v>
      </c>
      <c r="O289" s="21" t="str">
        <f>HYPERLINK("obsidian://open?vault=o2&amp;file=Amazon%E2%80%99s%20Satellite%20Internet%20Won%E2%80%99t%20Need%20a%20Giant%20Antenna.md","Amazon’s Satellite Internet Won’t Need a Giant Antenna")</f>
        <v>Amazon’s Satellite Internet Won’t Need a Giant Antenna</v>
      </c>
      <c r="P289" s="11" t="s">
        <v>175</v>
      </c>
      <c r="AR289" s="11">
        <f>SUBTOTAL(3,_xlfn.SINGLE(tbl_pros[RowId]))</f>
        <v>1</v>
      </c>
    </row>
    <row r="290" spans="10:44">
      <c r="J290" s="4">
        <v>280</v>
      </c>
      <c r="K290" s="20" t="s">
        <v>46</v>
      </c>
      <c r="L290" s="2" t="s">
        <v>645</v>
      </c>
      <c r="M290" s="4">
        <v>1</v>
      </c>
      <c r="N290" s="4" t="s">
        <v>646</v>
      </c>
      <c r="O290" s="21" t="str">
        <f>HYPERLINK("obsidian://open?vault=o2&amp;file=CIA%20Wanted%20His%20Hotel%20as%20Bay%20of%20Pigs%20Haven%2C%20Moore%20Testifies.md","CIA Wanted His Hotel as Bay of Pigs Haven, Moore Testifies")</f>
        <v>CIA Wanted His Hotel as Bay of Pigs Haven, Moore Testifies</v>
      </c>
      <c r="P290" s="11" t="s">
        <v>175</v>
      </c>
      <c r="AR290" s="11">
        <f>SUBTOTAL(3,_xlfn.SINGLE(tbl_pros[RowId]))</f>
        <v>1</v>
      </c>
    </row>
    <row r="291" spans="10:44">
      <c r="J291" s="4">
        <v>281</v>
      </c>
      <c r="K291" s="20" t="s">
        <v>46</v>
      </c>
      <c r="L291" s="2" t="s">
        <v>647</v>
      </c>
      <c r="M291" s="4">
        <v>1</v>
      </c>
      <c r="N291" s="4" t="s">
        <v>648</v>
      </c>
      <c r="O291" s="21" t="str">
        <f>HYPERLINK("obsidian://open?vault=o2&amp;file=Do%20Yourself%20a%20Favor%20and%20Go%20Find%20a%20%E2%80%98Third%20Place%E2%80%99.md","Do Yourself a Favor and Go Find a ‘Third Place’")</f>
        <v>Do Yourself a Favor and Go Find a ‘Third Place’</v>
      </c>
      <c r="P291" s="11" t="s">
        <v>175</v>
      </c>
      <c r="AR291" s="11">
        <f>SUBTOTAL(3,_xlfn.SINGLE(tbl_pros[RowId]))</f>
        <v>1</v>
      </c>
    </row>
    <row r="292" spans="10:44">
      <c r="J292" s="4">
        <v>282</v>
      </c>
      <c r="K292" s="20" t="s">
        <v>46</v>
      </c>
      <c r="L292" s="2" t="s">
        <v>649</v>
      </c>
      <c r="M292" s="4">
        <v>1</v>
      </c>
      <c r="N292" s="4" t="s">
        <v>650</v>
      </c>
      <c r="O292"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P292" s="11" t="s">
        <v>175</v>
      </c>
      <c r="AR292" s="11">
        <f>SUBTOTAL(3,_xlfn.SINGLE(tbl_pros[RowId]))</f>
        <v>1</v>
      </c>
    </row>
    <row r="293" spans="10:44">
      <c r="J293" s="4">
        <v>283</v>
      </c>
      <c r="K293" s="20" t="s">
        <v>46</v>
      </c>
      <c r="L293" s="2" t="s">
        <v>651</v>
      </c>
      <c r="M293" s="4">
        <v>1</v>
      </c>
      <c r="N293" s="4" t="s">
        <v>652</v>
      </c>
      <c r="O293" s="21" t="str">
        <f>HYPERLINK("obsidian://open?vault=o2&amp;file=Forget%20ChatGPT-You%20will%20not%20regret%20using%20these%20AI%20tools%20in%202023-Part%202.md","Forget ChatGPT-You will not regret using these AI tools in 2023-Part 2")</f>
        <v>Forget ChatGPT-You will not regret using these AI tools in 2023-Part 2</v>
      </c>
      <c r="P293" s="11" t="s">
        <v>175</v>
      </c>
      <c r="AR293" s="11">
        <f>SUBTOTAL(3,_xlfn.SINGLE(tbl_pros[RowId]))</f>
        <v>1</v>
      </c>
    </row>
    <row r="294" spans="10:44">
      <c r="J294" s="4">
        <v>284</v>
      </c>
      <c r="K294" s="20" t="s">
        <v>46</v>
      </c>
      <c r="L294" s="2" t="s">
        <v>653</v>
      </c>
      <c r="M294" s="4">
        <v>1</v>
      </c>
      <c r="N294" s="4" t="s">
        <v>654</v>
      </c>
      <c r="O294"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P294" s="11" t="s">
        <v>175</v>
      </c>
      <c r="AR294" s="11">
        <f>SUBTOTAL(3,_xlfn.SINGLE(tbl_pros[RowId]))</f>
        <v>1</v>
      </c>
    </row>
    <row r="295" spans="10:44">
      <c r="J295" s="4">
        <v>285</v>
      </c>
      <c r="K295" s="20" t="s">
        <v>46</v>
      </c>
      <c r="L295" s="2" t="s">
        <v>655</v>
      </c>
      <c r="M295" s="4">
        <v>1</v>
      </c>
      <c r="N295" s="4" t="s">
        <v>656</v>
      </c>
      <c r="O295"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P295" s="11" t="s">
        <v>175</v>
      </c>
      <c r="AR295" s="11">
        <f>SUBTOTAL(3,_xlfn.SINGLE(tbl_pros[RowId]))</f>
        <v>1</v>
      </c>
    </row>
    <row r="296" spans="10:44">
      <c r="J296" s="4">
        <v>286</v>
      </c>
      <c r="K296" s="20" t="s">
        <v>46</v>
      </c>
      <c r="L296" s="2" t="s">
        <v>657</v>
      </c>
      <c r="M296" s="4">
        <v>1</v>
      </c>
      <c r="N296" s="4" t="s">
        <v>658</v>
      </c>
      <c r="O296"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P296" s="11" t="s">
        <v>175</v>
      </c>
      <c r="AR296" s="11">
        <f>SUBTOTAL(3,_xlfn.SINGLE(tbl_pros[RowId]))</f>
        <v>1</v>
      </c>
    </row>
    <row r="297" spans="10:44">
      <c r="J297" s="4">
        <v>287</v>
      </c>
      <c r="K297" s="20" t="s">
        <v>46</v>
      </c>
      <c r="L297" s="2" t="s">
        <v>659</v>
      </c>
      <c r="M297" s="4">
        <v>1</v>
      </c>
      <c r="N297" s="4" t="s">
        <v>660</v>
      </c>
      <c r="O297" s="21" t="str">
        <f>HYPERLINK("obsidian://open?vault=o2&amp;file=How%20To%20Enable%20Always-On%20Display%20On%20iPhone%20With%20This%20iOS%20Trick.md","How To Enable Always-On Display On iPhone With This iOS Trick")</f>
        <v>How To Enable Always-On Display On iPhone With This iOS Trick</v>
      </c>
      <c r="P297" s="11" t="s">
        <v>175</v>
      </c>
      <c r="AR297" s="11">
        <f>SUBTOTAL(3,_xlfn.SINGLE(tbl_pros[RowId]))</f>
        <v>1</v>
      </c>
    </row>
    <row r="298" spans="10:44">
      <c r="J298" s="4">
        <v>288</v>
      </c>
      <c r="K298" s="20" t="s">
        <v>46</v>
      </c>
      <c r="L298" s="2" t="s">
        <v>661</v>
      </c>
      <c r="M298" s="4">
        <v>1</v>
      </c>
      <c r="N298" s="4" t="s">
        <v>662</v>
      </c>
      <c r="O298" s="21" t="str">
        <f>HYPERLINK("obsidian://open?vault=o2&amp;file=How%20to%20Make%20Changes%20to%20Multiple%20Files%20Using%20Python%20%20Envato%20Tuts%2B.md","How to Make Changes to Multiple Files Using Python  Envato Tuts+")</f>
        <v>How to Make Changes to Multiple Files Using Python  Envato Tuts+</v>
      </c>
      <c r="P298" s="11" t="s">
        <v>175</v>
      </c>
      <c r="AR298" s="11">
        <f>SUBTOTAL(3,_xlfn.SINGLE(tbl_pros[RowId]))</f>
        <v>1</v>
      </c>
    </row>
    <row r="299" spans="10:44">
      <c r="J299" s="4">
        <v>289</v>
      </c>
      <c r="K299" s="20" t="s">
        <v>46</v>
      </c>
      <c r="L299" s="2" t="s">
        <v>663</v>
      </c>
      <c r="M299" s="4">
        <v>1</v>
      </c>
      <c r="N299" s="4" t="s">
        <v>664</v>
      </c>
      <c r="O299" s="21" t="str">
        <f>HYPERLINK("obsidian://open?vault=o2&amp;file=The%20Growing%20Link%20Between%20Microbes%2C%20Mood%20and%20Mental%20Health.md","The Growing Link Between Microbes, Mood and Mental Health")</f>
        <v>The Growing Link Between Microbes, Mood and Mental Health</v>
      </c>
      <c r="P299" s="11" t="s">
        <v>175</v>
      </c>
      <c r="AR299" s="11">
        <f>SUBTOTAL(3,_xlfn.SINGLE(tbl_pros[RowId]))</f>
        <v>1</v>
      </c>
    </row>
    <row r="300" spans="10:44">
      <c r="J300" s="4">
        <v>290</v>
      </c>
      <c r="K300" s="20" t="s">
        <v>46</v>
      </c>
      <c r="L300" s="2" t="s">
        <v>665</v>
      </c>
      <c r="M300" s="4">
        <v>1</v>
      </c>
      <c r="N300" s="4" t="s">
        <v>666</v>
      </c>
      <c r="O300" s="21" t="str">
        <f>HYPERLINK("obsidian://open?vault=o2&amp;file=What%20is%20Thread%20and%20how%20will%20it%20help%20your%20smart%20home.md","What is Thread and how will it help your smart home")</f>
        <v>What is Thread and how will it help your smart home</v>
      </c>
      <c r="P300" s="11" t="s">
        <v>175</v>
      </c>
      <c r="AR300" s="11">
        <f>SUBTOTAL(3,_xlfn.SINGLE(tbl_pros[RowId]))</f>
        <v>1</v>
      </c>
    </row>
    <row r="301" spans="10:44">
      <c r="J301" s="4">
        <v>291</v>
      </c>
      <c r="K301" s="20" t="s">
        <v>46</v>
      </c>
      <c r="L301" s="2" t="s">
        <v>667</v>
      </c>
      <c r="M301" s="4">
        <v>1</v>
      </c>
      <c r="N301" s="4" t="s">
        <v>668</v>
      </c>
      <c r="O301" s="21" t="str">
        <f>HYPERLINK("obsidian://open?vault=o2&amp;file=How%20to%20Create%20So%20Much%20They%20Can%E2%80%99t%20Ignore%20You.md","How to Create So Much They Can’t Ignore You")</f>
        <v>How to Create So Much They Can’t Ignore You</v>
      </c>
      <c r="P301" s="11" t="s">
        <v>175</v>
      </c>
      <c r="AR301" s="11">
        <f>SUBTOTAL(3,_xlfn.SINGLE(tbl_pros[RowId]))</f>
        <v>1</v>
      </c>
    </row>
    <row r="302" spans="10:44">
      <c r="J302" s="4">
        <v>292</v>
      </c>
      <c r="K302" s="20" t="s">
        <v>47</v>
      </c>
      <c r="L302" s="2" t="s">
        <v>669</v>
      </c>
      <c r="M302" s="4">
        <v>16</v>
      </c>
      <c r="N302" s="4" t="s">
        <v>670</v>
      </c>
      <c r="O302" s="21" t="str">
        <f>HYPERLINK("obsidian://open?vault=o2&amp;file=%F0%9F%93%8C%20Cheatsheet%20Library%20Kanban.md","📌 Cheatsheet Library Kanban")</f>
        <v>📌 Cheatsheet Library Kanban</v>
      </c>
      <c r="P302" s="11" t="s">
        <v>175</v>
      </c>
      <c r="Q302" s="21" t="str">
        <f>HYPERLINK("obsidian://open?vault=o2&amp;file=%F0%9F%93%8C%20Debug%20metaCatchall.md","📌 Debug metaCatchall")</f>
        <v>📌 Debug metaCatchall</v>
      </c>
      <c r="R302" s="11" t="s">
        <v>175</v>
      </c>
      <c r="S302" s="21" t="str">
        <f>HYPERLINK("obsidian://open?vault=o2&amp;file=%F0%9F%93%8C%20Home%20Project%20Kanban.md","📌 Home Project Kanban")</f>
        <v>📌 Home Project Kanban</v>
      </c>
      <c r="T302" s="11" t="s">
        <v>175</v>
      </c>
      <c r="U302" s="21" t="str">
        <f>HYPERLINK("obsidian://open?vault=o2&amp;file=%F0%9F%93%8C%20Image%20Categorization%20Kanban.md","📌 Image Categorization Kanban")</f>
        <v>📌 Image Categorization Kanban</v>
      </c>
      <c r="V302" s="11" t="s">
        <v>175</v>
      </c>
      <c r="W302" s="21" t="str">
        <f>HYPERLINK("obsidian://open?vault=o2&amp;file=%F0%9F%93%8C%20Learning%20iOS%20Kanban.md","📌 Learning iOS Kanban")</f>
        <v>📌 Learning iOS Kanban</v>
      </c>
      <c r="X302" s="11" t="s">
        <v>175</v>
      </c>
      <c r="Y302" s="21" t="str">
        <f>HYPERLINK("obsidian://open?vault=o2&amp;file=%F0%9F%93%8C%20Media%20Project%20Kanban.md","📌 Media Project Kanban")</f>
        <v>📌 Media Project Kanban</v>
      </c>
      <c r="Z302" s="11" t="s">
        <v>175</v>
      </c>
      <c r="AA302" s="21" t="str">
        <f>HYPERLINK("obsidian://open?vault=o2&amp;file=%F0%9F%93%8C%20Money%20Management%20Kanban.md","📌 Money Management Kanban")</f>
        <v>📌 Money Management Kanban</v>
      </c>
      <c r="AB302" s="11" t="s">
        <v>175</v>
      </c>
      <c r="AC302" s="21" t="str">
        <f>HYPERLINK("obsidian://open?vault=o2&amp;file=%F0%9F%93%8C%20My%20Obsidian%20Kanban.md","📌 My Obsidian Kanban")</f>
        <v>📌 My Obsidian Kanban</v>
      </c>
      <c r="AD302" s="11" t="s">
        <v>175</v>
      </c>
      <c r="AE302" s="21" t="str">
        <f>HYPERLINK("obsidian://open?vault=o2&amp;file=%F0%9F%93%8C%20Obsidian%20Setup%20Kanban.md","📌 Obsidian Setup Kanban")</f>
        <v>📌 Obsidian Setup Kanban</v>
      </c>
      <c r="AF302" s="11" t="s">
        <v>175</v>
      </c>
      <c r="AG302" s="21" t="str">
        <f>HYPERLINK("obsidian://open?vault=o2&amp;file=%F0%9F%93%8C%20Office%20Desk%20Design%20Kanban.md","📌 Office Desk Design Kanban")</f>
        <v>📌 Office Desk Design Kanban</v>
      </c>
      <c r="AH302" s="11" t="s">
        <v>175</v>
      </c>
      <c r="AI302" s="21" t="str">
        <f>HYPERLINK("obsidian://open?vault=o2&amp;file=%F0%9F%93%8C%20Print%20On%20Demand%20Kanban.md","📌 Print On Demand Kanban")</f>
        <v>📌 Print On Demand Kanban</v>
      </c>
      <c r="AJ302" s="11" t="s">
        <v>175</v>
      </c>
      <c r="AK302" s="21" t="str">
        <f>HYPERLINK("obsidian://open?vault=o2&amp;file=%F0%9F%93%8C%20Recipe%20Database%20and%20Cookbook.md","📌 Recipe Database and Cookbook")</f>
        <v>📌 Recipe Database and Cookbook</v>
      </c>
      <c r="AL302" s="11" t="s">
        <v>175</v>
      </c>
      <c r="AM302" s="21" t="str">
        <f>HYPERLINK("obsidian://open?vault=o2&amp;file=%F0%9F%93%8C%20Setup%20Linode%20Server%20Kanban.md","📌 Setup Linode Server Kanban")</f>
        <v>📌 Setup Linode Server Kanban</v>
      </c>
      <c r="AN302" s="11" t="s">
        <v>175</v>
      </c>
      <c r="AO302" s="21" t="str">
        <f>HYPERLINK("obsidian://open?vault=o2&amp;file=%F0%9F%93%8C%20Sell%20House-Move.md","📌 Sell House-Move")</f>
        <v>📌 Sell House-Move</v>
      </c>
      <c r="AP302" s="11" t="s">
        <v>175</v>
      </c>
      <c r="AQ302" s="21" t="str">
        <f>HYPERLINK("obsidian://open?vault=o2&amp;file=%F0%9F%93%8C%20Create%20a%20new%20kind%20of%20note.md","📌 Create a new kind of note")</f>
        <v>📌 Create a new kind of note</v>
      </c>
      <c r="AR302" s="11">
        <f>SUBTOTAL(3,_xlfn.SINGLE(tbl_pros[RowId]))</f>
        <v>1</v>
      </c>
    </row>
    <row r="303" spans="10:44">
      <c r="J303" s="4">
        <v>293</v>
      </c>
      <c r="K303" s="20" t="s">
        <v>47</v>
      </c>
      <c r="L303" s="2" t="s">
        <v>671</v>
      </c>
      <c r="M303" s="4">
        <v>7</v>
      </c>
      <c r="N303" s="4" t="s">
        <v>672</v>
      </c>
      <c r="O303" s="21" t="str">
        <f>HYPERLINK("obsidian://open?vault=o2&amp;file=%F0%9F%93%8C%20My%20Daily%20Kanban.md","📌 My Daily Kanban")</f>
        <v>📌 My Daily Kanban</v>
      </c>
      <c r="P303" s="11" t="s">
        <v>175</v>
      </c>
      <c r="Q303" s="21" t="str">
        <f>HYPERLINK("obsidian://open?vault=o2&amp;file=%F0%9F%93%8C%20Obsidian%20Person%20Database%20Kanban.md","📌 Obsidian Person Database Kanban")</f>
        <v>📌 Obsidian Person Database Kanban</v>
      </c>
      <c r="R303" s="11" t="s">
        <v>175</v>
      </c>
      <c r="S303" s="21" t="str">
        <f>HYPERLINK("obsidian://open?vault=o2&amp;file=%F0%9F%93%8C%20PC%20Maintenance.md","📌 PC Maintenance")</f>
        <v>📌 PC Maintenance</v>
      </c>
      <c r="T303" s="11" t="s">
        <v>175</v>
      </c>
      <c r="U303" s="21" t="str">
        <f>HYPERLINK("obsidian://open?vault=o2&amp;file=%F0%9F%93%8C%20Rebuild%20PC%20Kanban.md","📌 Rebuild PC Kanban")</f>
        <v>📌 Rebuild PC Kanban</v>
      </c>
      <c r="V303" s="11" t="s">
        <v>175</v>
      </c>
      <c r="W303" s="21" t="str">
        <f>HYPERLINK("obsidian://open?vault=o2&amp;file=%F0%9F%93%8C%20Recovery%20Kanban.md","📌 Recovery Kanban")</f>
        <v>📌 Recovery Kanban</v>
      </c>
      <c r="X303" s="11" t="s">
        <v>175</v>
      </c>
      <c r="Y303" s="21" t="str">
        <f>HYPERLINK("obsidian://open?vault=o2&amp;file=%F0%9F%93%8C%20CasaOS%20Kanban.md","📌 CasaOS Kanban")</f>
        <v>📌 CasaOS Kanban</v>
      </c>
      <c r="Z303" s="11" t="s">
        <v>175</v>
      </c>
      <c r="AA303" s="21" t="str">
        <f>HYPERLINK("obsidian://open?vault=o2&amp;file=%F0%9F%93%8C%20Learn%20Obsidian%20MD.md","📌 Learn Obsidian MD")</f>
        <v>📌 Learn Obsidian MD</v>
      </c>
      <c r="AB303" s="11" t="s">
        <v>175</v>
      </c>
      <c r="AR303" s="11">
        <f>SUBTOTAL(3,_xlfn.SINGLE(tbl_pros[RowId]))</f>
        <v>1</v>
      </c>
    </row>
    <row r="304" spans="10:44">
      <c r="J304" s="4">
        <v>294</v>
      </c>
      <c r="K304" s="20" t="s">
        <v>48</v>
      </c>
      <c r="L304" s="2" t="s">
        <v>673</v>
      </c>
      <c r="M304" s="4">
        <v>1</v>
      </c>
      <c r="N304" s="4" t="s">
        <v>674</v>
      </c>
      <c r="O304" s="21" t="str">
        <f t="shared" ref="O304:O321" si="0">HYPERLINK("obsidian://open?vault=o2&amp;file=How%20I%20Would%20Learn%20Obsidian%20MD%20%28If%20I%20could%20start%20over%29.md","How I Would Learn Obsidian MD (If I could start over)")</f>
        <v>How I Would Learn Obsidian MD (If I could start over)</v>
      </c>
      <c r="P304" s="11" t="s">
        <v>175</v>
      </c>
      <c r="AR304" s="11">
        <f>SUBTOTAL(3,_xlfn.SINGLE(tbl_pros[RowId]))</f>
        <v>1</v>
      </c>
    </row>
    <row r="305" spans="10:44">
      <c r="J305" s="4">
        <v>295</v>
      </c>
      <c r="K305" s="20" t="s">
        <v>48</v>
      </c>
      <c r="L305" s="2" t="s">
        <v>675</v>
      </c>
      <c r="M305" s="4">
        <v>1</v>
      </c>
      <c r="N305" s="4" t="s">
        <v>676</v>
      </c>
      <c r="O305" s="21" t="str">
        <f t="shared" si="0"/>
        <v>How I Would Learn Obsidian MD (If I could start over)</v>
      </c>
      <c r="P305" s="11" t="s">
        <v>175</v>
      </c>
      <c r="AR305" s="11">
        <f>SUBTOTAL(3,_xlfn.SINGLE(tbl_pros[RowId]))</f>
        <v>1</v>
      </c>
    </row>
    <row r="306" spans="10:44">
      <c r="J306" s="4">
        <v>296</v>
      </c>
      <c r="K306" s="20" t="s">
        <v>48</v>
      </c>
      <c r="L306" s="2" t="s">
        <v>677</v>
      </c>
      <c r="M306" s="4">
        <v>1</v>
      </c>
      <c r="N306" s="4" t="s">
        <v>678</v>
      </c>
      <c r="O306" s="21" t="str">
        <f t="shared" si="0"/>
        <v>How I Would Learn Obsidian MD (If I could start over)</v>
      </c>
      <c r="P306" s="11" t="s">
        <v>175</v>
      </c>
      <c r="AR306" s="11">
        <f>SUBTOTAL(3,_xlfn.SINGLE(tbl_pros[RowId]))</f>
        <v>1</v>
      </c>
    </row>
    <row r="307" spans="10:44">
      <c r="J307" s="4">
        <v>297</v>
      </c>
      <c r="K307" s="20" t="s">
        <v>48</v>
      </c>
      <c r="L307" s="2" t="s">
        <v>679</v>
      </c>
      <c r="M307" s="4">
        <v>1</v>
      </c>
      <c r="N307" s="4" t="s">
        <v>680</v>
      </c>
      <c r="O307" s="21" t="str">
        <f t="shared" si="0"/>
        <v>How I Would Learn Obsidian MD (If I could start over)</v>
      </c>
      <c r="P307" s="11" t="s">
        <v>175</v>
      </c>
      <c r="AR307" s="11">
        <f>SUBTOTAL(3,_xlfn.SINGLE(tbl_pros[RowId]))</f>
        <v>1</v>
      </c>
    </row>
    <row r="308" spans="10:44">
      <c r="J308" s="4">
        <v>298</v>
      </c>
      <c r="K308" s="20" t="s">
        <v>48</v>
      </c>
      <c r="L308" s="2" t="s">
        <v>681</v>
      </c>
      <c r="M308" s="4">
        <v>1</v>
      </c>
      <c r="N308" s="4" t="s">
        <v>682</v>
      </c>
      <c r="O308" s="21" t="str">
        <f t="shared" si="0"/>
        <v>How I Would Learn Obsidian MD (If I could start over)</v>
      </c>
      <c r="P308" s="11" t="s">
        <v>175</v>
      </c>
      <c r="AR308" s="11">
        <f>SUBTOTAL(3,_xlfn.SINGLE(tbl_pros[RowId]))</f>
        <v>1</v>
      </c>
    </row>
    <row r="309" spans="10:44">
      <c r="J309" s="4">
        <v>299</v>
      </c>
      <c r="K309" s="20" t="s">
        <v>48</v>
      </c>
      <c r="L309" s="2" t="s">
        <v>683</v>
      </c>
      <c r="M309" s="4">
        <v>1</v>
      </c>
      <c r="N309" s="4" t="s">
        <v>684</v>
      </c>
      <c r="O309" s="21" t="str">
        <f t="shared" si="0"/>
        <v>How I Would Learn Obsidian MD (If I could start over)</v>
      </c>
      <c r="P309" s="11" t="s">
        <v>175</v>
      </c>
      <c r="AR309" s="11">
        <f>SUBTOTAL(3,_xlfn.SINGLE(tbl_pros[RowId]))</f>
        <v>1</v>
      </c>
    </row>
    <row r="310" spans="10:44">
      <c r="J310" s="4">
        <v>300</v>
      </c>
      <c r="K310" s="20" t="s">
        <v>48</v>
      </c>
      <c r="L310" s="2" t="s">
        <v>685</v>
      </c>
      <c r="M310" s="4">
        <v>1</v>
      </c>
      <c r="N310" s="4" t="s">
        <v>686</v>
      </c>
      <c r="O310" s="21" t="str">
        <f t="shared" si="0"/>
        <v>How I Would Learn Obsidian MD (If I could start over)</v>
      </c>
      <c r="P310" s="11" t="s">
        <v>175</v>
      </c>
      <c r="AR310" s="11">
        <f>SUBTOTAL(3,_xlfn.SINGLE(tbl_pros[RowId]))</f>
        <v>1</v>
      </c>
    </row>
    <row r="311" spans="10:44">
      <c r="J311" s="4">
        <v>301</v>
      </c>
      <c r="K311" s="20" t="s">
        <v>48</v>
      </c>
      <c r="L311" s="2" t="s">
        <v>687</v>
      </c>
      <c r="M311" s="4">
        <v>1</v>
      </c>
      <c r="N311" s="4" t="s">
        <v>688</v>
      </c>
      <c r="O311" s="21" t="str">
        <f t="shared" si="0"/>
        <v>How I Would Learn Obsidian MD (If I could start over)</v>
      </c>
      <c r="P311" s="11" t="s">
        <v>175</v>
      </c>
      <c r="AR311" s="11">
        <f>SUBTOTAL(3,_xlfn.SINGLE(tbl_pros[RowId]))</f>
        <v>1</v>
      </c>
    </row>
    <row r="312" spans="10:44">
      <c r="J312" s="4">
        <v>302</v>
      </c>
      <c r="K312" s="20" t="s">
        <v>48</v>
      </c>
      <c r="L312" s="2" t="s">
        <v>689</v>
      </c>
      <c r="M312" s="4">
        <v>1</v>
      </c>
      <c r="N312" s="4" t="s">
        <v>690</v>
      </c>
      <c r="O312" s="21" t="str">
        <f t="shared" si="0"/>
        <v>How I Would Learn Obsidian MD (If I could start over)</v>
      </c>
      <c r="P312" s="11" t="s">
        <v>175</v>
      </c>
      <c r="AR312" s="11">
        <f>SUBTOTAL(3,_xlfn.SINGLE(tbl_pros[RowId]))</f>
        <v>1</v>
      </c>
    </row>
    <row r="313" spans="10:44">
      <c r="J313" s="4">
        <v>303</v>
      </c>
      <c r="K313" s="20" t="s">
        <v>48</v>
      </c>
      <c r="L313" s="2" t="s">
        <v>691</v>
      </c>
      <c r="M313" s="4">
        <v>1</v>
      </c>
      <c r="N313" s="4" t="s">
        <v>692</v>
      </c>
      <c r="O313" s="21" t="str">
        <f t="shared" si="0"/>
        <v>How I Would Learn Obsidian MD (If I could start over)</v>
      </c>
      <c r="P313" s="11" t="s">
        <v>175</v>
      </c>
      <c r="AR313" s="11">
        <f>SUBTOTAL(3,_xlfn.SINGLE(tbl_pros[RowId]))</f>
        <v>1</v>
      </c>
    </row>
    <row r="314" spans="10:44">
      <c r="J314" s="4">
        <v>304</v>
      </c>
      <c r="K314" s="20" t="s">
        <v>48</v>
      </c>
      <c r="L314" s="2" t="s">
        <v>693</v>
      </c>
      <c r="M314" s="4">
        <v>1</v>
      </c>
      <c r="N314" s="4" t="s">
        <v>694</v>
      </c>
      <c r="O314" s="21" t="str">
        <f t="shared" si="0"/>
        <v>How I Would Learn Obsidian MD (If I could start over)</v>
      </c>
      <c r="P314" s="11" t="s">
        <v>175</v>
      </c>
      <c r="AR314" s="11">
        <f>SUBTOTAL(3,_xlfn.SINGLE(tbl_pros[RowId]))</f>
        <v>1</v>
      </c>
    </row>
    <row r="315" spans="10:44">
      <c r="J315" s="4">
        <v>305</v>
      </c>
      <c r="K315" s="20" t="s">
        <v>48</v>
      </c>
      <c r="L315" s="2" t="s">
        <v>695</v>
      </c>
      <c r="M315" s="4">
        <v>1</v>
      </c>
      <c r="N315" s="4" t="s">
        <v>696</v>
      </c>
      <c r="O315" s="21" t="str">
        <f t="shared" si="0"/>
        <v>How I Would Learn Obsidian MD (If I could start over)</v>
      </c>
      <c r="P315" s="11" t="s">
        <v>175</v>
      </c>
      <c r="AR315" s="11">
        <f>SUBTOTAL(3,_xlfn.SINGLE(tbl_pros[RowId]))</f>
        <v>1</v>
      </c>
    </row>
    <row r="316" spans="10:44">
      <c r="J316" s="4">
        <v>306</v>
      </c>
      <c r="K316" s="20" t="s">
        <v>48</v>
      </c>
      <c r="L316" s="2" t="s">
        <v>697</v>
      </c>
      <c r="M316" s="4">
        <v>1</v>
      </c>
      <c r="N316" s="4" t="s">
        <v>698</v>
      </c>
      <c r="O316" s="21" t="str">
        <f t="shared" si="0"/>
        <v>How I Would Learn Obsidian MD (If I could start over)</v>
      </c>
      <c r="P316" s="11" t="s">
        <v>175</v>
      </c>
      <c r="AR316" s="11">
        <f>SUBTOTAL(3,_xlfn.SINGLE(tbl_pros[RowId]))</f>
        <v>1</v>
      </c>
    </row>
    <row r="317" spans="10:44">
      <c r="J317" s="4">
        <v>307</v>
      </c>
      <c r="K317" s="20" t="s">
        <v>48</v>
      </c>
      <c r="L317" s="2" t="s">
        <v>699</v>
      </c>
      <c r="M317" s="4">
        <v>1</v>
      </c>
      <c r="N317" s="4" t="s">
        <v>700</v>
      </c>
      <c r="O317" s="21" t="str">
        <f t="shared" si="0"/>
        <v>How I Would Learn Obsidian MD (If I could start over)</v>
      </c>
      <c r="P317" s="11" t="s">
        <v>175</v>
      </c>
      <c r="AR317" s="11">
        <f>SUBTOTAL(3,_xlfn.SINGLE(tbl_pros[RowId]))</f>
        <v>1</v>
      </c>
    </row>
    <row r="318" spans="10:44">
      <c r="J318" s="4">
        <v>308</v>
      </c>
      <c r="K318" s="20" t="s">
        <v>48</v>
      </c>
      <c r="L318" s="2" t="s">
        <v>701</v>
      </c>
      <c r="M318" s="4">
        <v>1</v>
      </c>
      <c r="N318" s="4" t="s">
        <v>702</v>
      </c>
      <c r="O318" s="21" t="str">
        <f t="shared" si="0"/>
        <v>How I Would Learn Obsidian MD (If I could start over)</v>
      </c>
      <c r="P318" s="11" t="s">
        <v>175</v>
      </c>
      <c r="AR318" s="11">
        <f>SUBTOTAL(3,_xlfn.SINGLE(tbl_pros[RowId]))</f>
        <v>1</v>
      </c>
    </row>
    <row r="319" spans="10:44">
      <c r="J319" s="4">
        <v>309</v>
      </c>
      <c r="K319" s="20" t="s">
        <v>48</v>
      </c>
      <c r="L319" s="2" t="s">
        <v>703</v>
      </c>
      <c r="M319" s="4">
        <v>1</v>
      </c>
      <c r="N319" s="4" t="s">
        <v>704</v>
      </c>
      <c r="O319" s="21" t="str">
        <f t="shared" si="0"/>
        <v>How I Would Learn Obsidian MD (If I could start over)</v>
      </c>
      <c r="P319" s="11" t="s">
        <v>175</v>
      </c>
      <c r="AR319" s="11">
        <f>SUBTOTAL(3,_xlfn.SINGLE(tbl_pros[RowId]))</f>
        <v>1</v>
      </c>
    </row>
    <row r="320" spans="10:44">
      <c r="J320" s="4">
        <v>310</v>
      </c>
      <c r="K320" s="20" t="s">
        <v>48</v>
      </c>
      <c r="L320" s="2" t="s">
        <v>705</v>
      </c>
      <c r="M320" s="4">
        <v>1</v>
      </c>
      <c r="N320" s="4" t="s">
        <v>706</v>
      </c>
      <c r="O320" s="21" t="str">
        <f t="shared" si="0"/>
        <v>How I Would Learn Obsidian MD (If I could start over)</v>
      </c>
      <c r="P320" s="11" t="s">
        <v>175</v>
      </c>
      <c r="AR320" s="11">
        <f>SUBTOTAL(3,_xlfn.SINGLE(tbl_pros[RowId]))</f>
        <v>1</v>
      </c>
    </row>
    <row r="321" spans="10:44">
      <c r="J321" s="4">
        <v>311</v>
      </c>
      <c r="K321" s="20" t="s">
        <v>48</v>
      </c>
      <c r="L321" s="2" t="s">
        <v>707</v>
      </c>
      <c r="M321" s="4">
        <v>1</v>
      </c>
      <c r="N321" s="4" t="s">
        <v>708</v>
      </c>
      <c r="O321" s="21" t="str">
        <f t="shared" si="0"/>
        <v>How I Would Learn Obsidian MD (If I could start over)</v>
      </c>
      <c r="P321" s="11" t="s">
        <v>175</v>
      </c>
      <c r="AR321" s="11">
        <f>SUBTOTAL(3,_xlfn.SINGLE(tbl_pros[RowId]))</f>
        <v>1</v>
      </c>
    </row>
    <row r="322" spans="10:44">
      <c r="J322" s="4">
        <v>312</v>
      </c>
      <c r="K322" s="20" t="s">
        <v>48</v>
      </c>
      <c r="L322" s="2" t="s">
        <v>709</v>
      </c>
      <c r="M322" s="4">
        <v>1</v>
      </c>
      <c r="N322" s="4" t="s">
        <v>710</v>
      </c>
      <c r="O322" s="21" t="str">
        <f t="shared" ref="O322:O327" si="1">HYPERLINK("obsidian://open?vault=o2&amp;file=Manage%20Users.md","Manage Users")</f>
        <v>Manage Users</v>
      </c>
      <c r="P322" s="11" t="s">
        <v>175</v>
      </c>
      <c r="AR322" s="11">
        <f>SUBTOTAL(3,_xlfn.SINGLE(tbl_pros[RowId]))</f>
        <v>1</v>
      </c>
    </row>
    <row r="323" spans="10:44">
      <c r="J323" s="4">
        <v>313</v>
      </c>
      <c r="K323" s="20" t="s">
        <v>48</v>
      </c>
      <c r="L323" s="2" t="s">
        <v>711</v>
      </c>
      <c r="M323" s="4">
        <v>1</v>
      </c>
      <c r="N323" s="4" t="s">
        <v>712</v>
      </c>
      <c r="O323" s="21" t="str">
        <f t="shared" si="1"/>
        <v>Manage Users</v>
      </c>
      <c r="P323" s="11" t="s">
        <v>175</v>
      </c>
      <c r="AR323" s="11">
        <f>SUBTOTAL(3,_xlfn.SINGLE(tbl_pros[RowId]))</f>
        <v>1</v>
      </c>
    </row>
    <row r="324" spans="10:44">
      <c r="J324" s="4">
        <v>314</v>
      </c>
      <c r="K324" s="20" t="s">
        <v>48</v>
      </c>
      <c r="L324" s="2" t="s">
        <v>713</v>
      </c>
      <c r="M324" s="4">
        <v>1</v>
      </c>
      <c r="N324" s="4" t="s">
        <v>714</v>
      </c>
      <c r="O324" s="21" t="str">
        <f t="shared" si="1"/>
        <v>Manage Users</v>
      </c>
      <c r="P324" s="11" t="s">
        <v>175</v>
      </c>
      <c r="AR324" s="11">
        <f>SUBTOTAL(3,_xlfn.SINGLE(tbl_pros[RowId]))</f>
        <v>1</v>
      </c>
    </row>
    <row r="325" spans="10:44">
      <c r="J325" s="4">
        <v>315</v>
      </c>
      <c r="K325" s="20" t="s">
        <v>48</v>
      </c>
      <c r="L325" s="2" t="s">
        <v>715</v>
      </c>
      <c r="M325" s="4">
        <v>1</v>
      </c>
      <c r="N325" s="4" t="s">
        <v>716</v>
      </c>
      <c r="O325" s="21" t="str">
        <f t="shared" si="1"/>
        <v>Manage Users</v>
      </c>
      <c r="P325" s="11" t="s">
        <v>175</v>
      </c>
      <c r="AR325" s="11">
        <f>SUBTOTAL(3,_xlfn.SINGLE(tbl_pros[RowId]))</f>
        <v>1</v>
      </c>
    </row>
    <row r="326" spans="10:44">
      <c r="J326" s="4">
        <v>316</v>
      </c>
      <c r="K326" s="20" t="s">
        <v>48</v>
      </c>
      <c r="L326" s="2" t="s">
        <v>717</v>
      </c>
      <c r="M326" s="4">
        <v>1</v>
      </c>
      <c r="N326" s="4" t="s">
        <v>718</v>
      </c>
      <c r="O326" s="21" t="str">
        <f t="shared" si="1"/>
        <v>Manage Users</v>
      </c>
      <c r="P326" s="11" t="s">
        <v>175</v>
      </c>
      <c r="AR326" s="11">
        <f>SUBTOTAL(3,_xlfn.SINGLE(tbl_pros[RowId]))</f>
        <v>1</v>
      </c>
    </row>
    <row r="327" spans="10:44">
      <c r="J327" s="4">
        <v>317</v>
      </c>
      <c r="K327" s="20" t="s">
        <v>48</v>
      </c>
      <c r="L327" s="2" t="s">
        <v>719</v>
      </c>
      <c r="M327" s="4">
        <v>1</v>
      </c>
      <c r="N327" s="4" t="s">
        <v>720</v>
      </c>
      <c r="O327" s="21" t="str">
        <f t="shared" si="1"/>
        <v>Manage Users</v>
      </c>
      <c r="P327" s="11" t="s">
        <v>175</v>
      </c>
      <c r="AR327" s="11">
        <f>SUBTOTAL(3,_xlfn.SINGLE(tbl_pros[RowId]))</f>
        <v>1</v>
      </c>
    </row>
    <row r="328" spans="10:44">
      <c r="J328" s="4">
        <v>318</v>
      </c>
      <c r="K328" s="20" t="s">
        <v>48</v>
      </c>
      <c r="L328" s="2" t="s">
        <v>721</v>
      </c>
      <c r="M328" s="4">
        <v>1</v>
      </c>
      <c r="N328" s="4" t="s">
        <v>722</v>
      </c>
      <c r="O328" s="21" t="str">
        <f>HYPERLINK("obsidian://open?vault=o2&amp;file=Managing%20and%20growing%20evergreen%20notes.md","Managing and growing evergreen notes")</f>
        <v>Managing and growing evergreen notes</v>
      </c>
      <c r="P328" s="11" t="s">
        <v>175</v>
      </c>
      <c r="AR328" s="11">
        <f>SUBTOTAL(3,_xlfn.SINGLE(tbl_pros[RowId]))</f>
        <v>1</v>
      </c>
    </row>
    <row r="329" spans="10:44">
      <c r="J329" s="4">
        <v>319</v>
      </c>
      <c r="K329" s="20" t="s">
        <v>48</v>
      </c>
      <c r="L329" s="2" t="s">
        <v>723</v>
      </c>
      <c r="M329" s="4">
        <v>1</v>
      </c>
      <c r="N329" s="4" t="s">
        <v>724</v>
      </c>
      <c r="O329" s="21" t="str">
        <f>HYPERLINK("obsidian://open?vault=o2&amp;file=Managing%20and%20growing%20evergreen%20notes.md","Managing and growing evergreen notes")</f>
        <v>Managing and growing evergreen notes</v>
      </c>
      <c r="P329" s="11" t="s">
        <v>175</v>
      </c>
      <c r="AR329" s="11">
        <f>SUBTOTAL(3,_xlfn.SINGLE(tbl_pros[RowId]))</f>
        <v>1</v>
      </c>
    </row>
    <row r="330" spans="10:44">
      <c r="J330" s="4">
        <v>320</v>
      </c>
      <c r="K330" s="20" t="s">
        <v>48</v>
      </c>
      <c r="L330" s="2" t="s">
        <v>308</v>
      </c>
      <c r="M330" s="4">
        <v>1</v>
      </c>
      <c r="N330" s="4" t="s">
        <v>725</v>
      </c>
      <c r="O330" s="21" t="str">
        <f>HYPERLINK("obsidian://open?vault=o2&amp;file=Managing%20and%20growing%20evergreen%20notes.md","Managing and growing evergreen notes")</f>
        <v>Managing and growing evergreen notes</v>
      </c>
      <c r="P330" s="11" t="s">
        <v>175</v>
      </c>
      <c r="AR330" s="11">
        <f>SUBTOTAL(3,_xlfn.SINGLE(tbl_pros[RowId]))</f>
        <v>1</v>
      </c>
    </row>
    <row r="331" spans="10:44">
      <c r="J331" s="4">
        <v>321</v>
      </c>
      <c r="K331" s="20" t="s">
        <v>48</v>
      </c>
      <c r="L331" s="2" t="s">
        <v>726</v>
      </c>
      <c r="M331" s="4">
        <v>1</v>
      </c>
      <c r="N331" s="4" t="s">
        <v>727</v>
      </c>
      <c r="O331" s="21" t="str">
        <f>HYPERLINK("obsidian://open?vault=o2&amp;file=Managing%20and%20growing%20evergreen%20notes.md","Managing and growing evergreen notes")</f>
        <v>Managing and growing evergreen notes</v>
      </c>
      <c r="P331" s="11" t="s">
        <v>175</v>
      </c>
      <c r="AR331" s="11">
        <f>SUBTOTAL(3,_xlfn.SINGLE(tbl_pros[RowId]))</f>
        <v>1</v>
      </c>
    </row>
    <row r="332" spans="10:44">
      <c r="J332" s="4">
        <v>322</v>
      </c>
      <c r="K332" s="20" t="s">
        <v>48</v>
      </c>
      <c r="L332" s="2" t="s">
        <v>728</v>
      </c>
      <c r="M332" s="4">
        <v>1</v>
      </c>
      <c r="N332" s="4" t="s">
        <v>729</v>
      </c>
      <c r="O332" s="21" t="str">
        <f>HYPERLINK("obsidian://open?vault=o2&amp;file=Search%20and%20Replace%20in%20Vim.md","Search and Replace in Vim")</f>
        <v>Search and Replace in Vim</v>
      </c>
      <c r="P332" s="11" t="s">
        <v>175</v>
      </c>
      <c r="AR332" s="11">
        <f>SUBTOTAL(3,_xlfn.SINGLE(tbl_pros[RowId]))</f>
        <v>1</v>
      </c>
    </row>
    <row r="333" spans="10:44">
      <c r="J333" s="4">
        <v>323</v>
      </c>
      <c r="K333" s="20" t="s">
        <v>48</v>
      </c>
      <c r="L333" s="2" t="s">
        <v>730</v>
      </c>
      <c r="M333" s="4">
        <v>1</v>
      </c>
      <c r="N333" s="4" t="s">
        <v>731</v>
      </c>
      <c r="O333" s="21" t="str">
        <f>HYPERLINK("obsidian://open?vault=o2&amp;file=Secure%20Remote%20Access.md","Secure Remote Access")</f>
        <v>Secure Remote Access</v>
      </c>
      <c r="P333" s="11" t="s">
        <v>175</v>
      </c>
      <c r="AR333" s="11">
        <f>SUBTOTAL(3,_xlfn.SINGLE(tbl_pros[RowId]))</f>
        <v>1</v>
      </c>
    </row>
    <row r="334" spans="10:44">
      <c r="J334" s="4">
        <v>324</v>
      </c>
      <c r="K334" s="20" t="s">
        <v>48</v>
      </c>
      <c r="L334" s="2" t="s">
        <v>732</v>
      </c>
      <c r="M334" s="4">
        <v>1</v>
      </c>
      <c r="N334" s="4" t="s">
        <v>733</v>
      </c>
      <c r="O334" s="21" t="str">
        <f>HYPERLINK("obsidian://open?vault=o2&amp;file=Secure%20Remote%20Access.md","Secure Remote Access")</f>
        <v>Secure Remote Access</v>
      </c>
      <c r="P334" s="11" t="s">
        <v>175</v>
      </c>
      <c r="AR334" s="11">
        <f>SUBTOTAL(3,_xlfn.SINGLE(tbl_pros[RowId]))</f>
        <v>1</v>
      </c>
    </row>
    <row r="335" spans="10:44">
      <c r="J335" s="4">
        <v>325</v>
      </c>
      <c r="K335" s="20" t="s">
        <v>48</v>
      </c>
      <c r="L335" s="2" t="s">
        <v>734</v>
      </c>
      <c r="M335" s="4">
        <v>1</v>
      </c>
      <c r="N335" s="4" t="s">
        <v>735</v>
      </c>
      <c r="O335" s="21" t="str">
        <f>HYPERLINK("obsidian://open?vault=o2&amp;file=Secure%20Remote%20Access.md","Secure Remote Access")</f>
        <v>Secure Remote Access</v>
      </c>
      <c r="P335" s="11" t="s">
        <v>175</v>
      </c>
      <c r="AR335" s="11">
        <f>SUBTOTAL(3,_xlfn.SINGLE(tbl_pros[RowId]))</f>
        <v>1</v>
      </c>
    </row>
    <row r="336" spans="10:44">
      <c r="J336" s="4">
        <v>326</v>
      </c>
      <c r="K336" s="20" t="s">
        <v>48</v>
      </c>
      <c r="L336" s="2" t="s">
        <v>736</v>
      </c>
      <c r="M336" s="4">
        <v>1</v>
      </c>
      <c r="N336" s="4" t="s">
        <v>737</v>
      </c>
      <c r="O336" s="21" t="str">
        <f>HYPERLINK("obsidian://open?vault=o2&amp;file=Secure%20Remote%20Access.md","Secure Remote Access")</f>
        <v>Secure Remote Access</v>
      </c>
      <c r="P336" s="11" t="s">
        <v>175</v>
      </c>
      <c r="AR336" s="11">
        <f>SUBTOTAL(3,_xlfn.SINGLE(tbl_pros[RowId]))</f>
        <v>1</v>
      </c>
    </row>
    <row r="337" spans="10:44">
      <c r="J337" s="4">
        <v>327</v>
      </c>
      <c r="K337" s="20" t="s">
        <v>48</v>
      </c>
      <c r="L337" s="2" t="s">
        <v>738</v>
      </c>
      <c r="M337" s="4">
        <v>1</v>
      </c>
      <c r="N337" s="4" t="s">
        <v>739</v>
      </c>
      <c r="O337" s="21" t="str">
        <f>HYPERLINK("obsidian://open?vault=o2&amp;file=Secure%20Remote%20Access.md","Secure Remote Access")</f>
        <v>Secure Remote Access</v>
      </c>
      <c r="P337" s="11" t="s">
        <v>175</v>
      </c>
      <c r="AR337" s="11">
        <f>SUBTOTAL(3,_xlfn.SINGLE(tbl_pros[RowId]))</f>
        <v>1</v>
      </c>
    </row>
    <row r="338" spans="10:44">
      <c r="J338" s="4">
        <v>328</v>
      </c>
      <c r="K338" s="20" t="s">
        <v>48</v>
      </c>
      <c r="L338" s="2" t="s">
        <v>740</v>
      </c>
      <c r="M338" s="4">
        <v>1</v>
      </c>
      <c r="N338" s="4" t="s">
        <v>741</v>
      </c>
      <c r="O338" s="21" t="str">
        <f>HYPERLINK("obsidian://open?vault=o2&amp;file=Streaming%20Bundles.md","Streaming Bundles")</f>
        <v>Streaming Bundles</v>
      </c>
      <c r="P338" s="11" t="s">
        <v>175</v>
      </c>
      <c r="AR338" s="11">
        <f>SUBTOTAL(3,_xlfn.SINGLE(tbl_pros[RowId]))</f>
        <v>1</v>
      </c>
    </row>
    <row r="339" spans="10:44">
      <c r="J339" s="4">
        <v>329</v>
      </c>
      <c r="K339" s="20" t="s">
        <v>48</v>
      </c>
      <c r="L339" s="2" t="s">
        <v>742</v>
      </c>
      <c r="M339" s="4">
        <v>1</v>
      </c>
      <c r="N339" s="4" t="s">
        <v>743</v>
      </c>
      <c r="O339" s="21" t="str">
        <f>HYPERLINK("obsidian://open?vault=o2&amp;file=Streaming%20Bundles.md","Streaming Bundles")</f>
        <v>Streaming Bundles</v>
      </c>
      <c r="P339" s="11" t="s">
        <v>175</v>
      </c>
      <c r="AR339" s="11">
        <f>SUBTOTAL(3,_xlfn.SINGLE(tbl_pros[RowId]))</f>
        <v>1</v>
      </c>
    </row>
    <row r="340" spans="10:44">
      <c r="J340" s="4">
        <v>330</v>
      </c>
      <c r="K340" s="20" t="s">
        <v>48</v>
      </c>
      <c r="L340" s="2" t="s">
        <v>744</v>
      </c>
      <c r="M340" s="4">
        <v>1</v>
      </c>
      <c r="N340" s="4" t="s">
        <v>745</v>
      </c>
      <c r="O340" s="21" t="str">
        <f>HYPERLINK("obsidian://open?vault=o2&amp;file=Streaming%20Bundles.md","Streaming Bundles")</f>
        <v>Streaming Bundles</v>
      </c>
      <c r="P340" s="11" t="s">
        <v>175</v>
      </c>
      <c r="AR340" s="11">
        <f>SUBTOTAL(3,_xlfn.SINGLE(tbl_pros[RowId]))</f>
        <v>1</v>
      </c>
    </row>
    <row r="341" spans="10:44">
      <c r="J341" s="4">
        <v>331</v>
      </c>
      <c r="K341" s="20" t="s">
        <v>48</v>
      </c>
      <c r="L341" s="2" t="s">
        <v>746</v>
      </c>
      <c r="M341" s="4">
        <v>1</v>
      </c>
      <c r="N341" s="4" t="s">
        <v>747</v>
      </c>
      <c r="O341" s="21" t="str">
        <f>HYPERLINK("obsidian://open?vault=o2&amp;file=Streaming%20Bundles.md","Streaming Bundles")</f>
        <v>Streaming Bundles</v>
      </c>
      <c r="P341" s="11" t="s">
        <v>175</v>
      </c>
      <c r="AR341" s="11">
        <f>SUBTOTAL(3,_xlfn.SINGLE(tbl_pros[RowId]))</f>
        <v>1</v>
      </c>
    </row>
    <row r="342" spans="10:44">
      <c r="J342" s="4">
        <v>332</v>
      </c>
      <c r="K342" s="20" t="s">
        <v>48</v>
      </c>
      <c r="L342" s="2" t="s">
        <v>748</v>
      </c>
      <c r="M342" s="4">
        <v>1</v>
      </c>
      <c r="N342" s="4" t="s">
        <v>749</v>
      </c>
      <c r="O342" s="21" t="str">
        <f>HYPERLINK("obsidian://open?vault=o2&amp;file=The%20ad%20haters%20guide%20to%20cord-cutting%20-%20TechHive.md","The ad haters guide to cord-cutting - TechHive")</f>
        <v>The ad haters guide to cord-cutting - TechHive</v>
      </c>
      <c r="P342" s="11" t="s">
        <v>175</v>
      </c>
      <c r="AR342" s="11">
        <f>SUBTOTAL(3,_xlfn.SINGLE(tbl_pros[RowId]))</f>
        <v>1</v>
      </c>
    </row>
    <row r="343" spans="10:44">
      <c r="J343" s="4">
        <v>333</v>
      </c>
      <c r="K343" s="20" t="s">
        <v>48</v>
      </c>
      <c r="L343" s="2" t="s">
        <v>750</v>
      </c>
      <c r="M343" s="4">
        <v>1</v>
      </c>
      <c r="N343" s="4" t="s">
        <v>751</v>
      </c>
      <c r="O343" s="21" t="str">
        <f>HYPERLINK("obsidian://open?vault=o2&amp;file=The%20ad%20haters%20guide%20to%20cord-cutting%20-%20TechHive.md","The ad haters guide to cord-cutting - TechHive")</f>
        <v>The ad haters guide to cord-cutting - TechHive</v>
      </c>
      <c r="P343" s="11" t="s">
        <v>175</v>
      </c>
      <c r="AR343" s="11">
        <f>SUBTOTAL(3,_xlfn.SINGLE(tbl_pros[RowId]))</f>
        <v>1</v>
      </c>
    </row>
    <row r="344" spans="10:44">
      <c r="J344" s="4">
        <v>334</v>
      </c>
      <c r="K344" s="20" t="s">
        <v>48</v>
      </c>
      <c r="L344" s="2" t="s">
        <v>752</v>
      </c>
      <c r="M344" s="4">
        <v>1</v>
      </c>
      <c r="N344" s="4" t="s">
        <v>753</v>
      </c>
      <c r="O344" s="21" t="str">
        <f>HYPERLINK("obsidian://open?vault=o2&amp;file=The%20ad%20haters%20guide%20to%20cord-cutting%20-%20TechHive.md","The ad haters guide to cord-cutting - TechHive")</f>
        <v>The ad haters guide to cord-cutting - TechHive</v>
      </c>
      <c r="P344" s="11" t="s">
        <v>175</v>
      </c>
      <c r="AR344" s="11">
        <f>SUBTOTAL(3,_xlfn.SINGLE(tbl_pros[RowId]))</f>
        <v>1</v>
      </c>
    </row>
    <row r="345" spans="10:44">
      <c r="J345" s="4">
        <v>335</v>
      </c>
      <c r="K345" s="20" t="s">
        <v>48</v>
      </c>
      <c r="L345" s="2" t="s">
        <v>754</v>
      </c>
      <c r="M345" s="4">
        <v>2</v>
      </c>
      <c r="N345" s="4" t="s">
        <v>755</v>
      </c>
      <c r="O345" s="21" t="str">
        <f>HYPERLINK("obsidian://open?vault=o2&amp;file=The%20ad%20haters%20guide%20to%20cord-cutting%20-%20TechHive.md","The ad haters guide to cord-cutting - TechHive")</f>
        <v>The ad haters guide to cord-cutting - TechHive</v>
      </c>
      <c r="P345" s="11" t="s">
        <v>175</v>
      </c>
      <c r="Q345" s="21" t="str">
        <f>HYPERLINK("obsidian://open?vault=o2&amp;file=Fix%20Sound%20on%20Movies.md","Fix Sound on Movies")</f>
        <v>Fix Sound on Movies</v>
      </c>
      <c r="R345" s="11" t="s">
        <v>175</v>
      </c>
      <c r="AR345" s="11">
        <f>SUBTOTAL(3,_xlfn.SINGLE(tbl_pros[RowId]))</f>
        <v>1</v>
      </c>
    </row>
    <row r="346" spans="10:44">
      <c r="J346" s="4">
        <v>336</v>
      </c>
      <c r="K346" s="20" t="s">
        <v>48</v>
      </c>
      <c r="L346" s="2" t="s">
        <v>756</v>
      </c>
      <c r="M346" s="4">
        <v>1</v>
      </c>
      <c r="N346" s="4" t="s">
        <v>757</v>
      </c>
      <c r="O346" s="21" t="str">
        <f t="shared" ref="O346:O352" si="2">HYPERLINK("obsidian://open?vault=o2&amp;file=The%20Food%20Expiration%20Dates%20You%20Should%20Actually%20Follow.md","The Food Expiration Dates You Should Actually Follow")</f>
        <v>The Food Expiration Dates You Should Actually Follow</v>
      </c>
      <c r="P346" s="11" t="s">
        <v>175</v>
      </c>
      <c r="AR346" s="11">
        <f>SUBTOTAL(3,_xlfn.SINGLE(tbl_pros[RowId]))</f>
        <v>1</v>
      </c>
    </row>
    <row r="347" spans="10:44">
      <c r="J347" s="4">
        <v>337</v>
      </c>
      <c r="K347" s="20" t="s">
        <v>48</v>
      </c>
      <c r="L347" s="2" t="s">
        <v>758</v>
      </c>
      <c r="M347" s="4">
        <v>1</v>
      </c>
      <c r="N347" s="4" t="s">
        <v>759</v>
      </c>
      <c r="O347" s="21" t="str">
        <f t="shared" si="2"/>
        <v>The Food Expiration Dates You Should Actually Follow</v>
      </c>
      <c r="P347" s="11" t="s">
        <v>175</v>
      </c>
      <c r="AR347" s="11">
        <f>SUBTOTAL(3,_xlfn.SINGLE(tbl_pros[RowId]))</f>
        <v>1</v>
      </c>
    </row>
    <row r="348" spans="10:44">
      <c r="J348" s="4">
        <v>338</v>
      </c>
      <c r="K348" s="20" t="s">
        <v>48</v>
      </c>
      <c r="L348" s="2" t="s">
        <v>760</v>
      </c>
      <c r="M348" s="4">
        <v>1</v>
      </c>
      <c r="N348" s="4" t="s">
        <v>761</v>
      </c>
      <c r="O348" s="21" t="str">
        <f t="shared" si="2"/>
        <v>The Food Expiration Dates You Should Actually Follow</v>
      </c>
      <c r="P348" s="11" t="s">
        <v>175</v>
      </c>
      <c r="AR348" s="11">
        <f>SUBTOTAL(3,_xlfn.SINGLE(tbl_pros[RowId]))</f>
        <v>1</v>
      </c>
    </row>
    <row r="349" spans="10:44">
      <c r="J349" s="4">
        <v>339</v>
      </c>
      <c r="K349" s="20" t="s">
        <v>48</v>
      </c>
      <c r="L349" s="2" t="s">
        <v>762</v>
      </c>
      <c r="M349" s="4">
        <v>3</v>
      </c>
      <c r="N349" s="4" t="s">
        <v>763</v>
      </c>
      <c r="O349" s="21" t="str">
        <f t="shared" si="2"/>
        <v>The Food Expiration Dates You Should Actually Follow</v>
      </c>
      <c r="P349" s="11" t="s">
        <v>175</v>
      </c>
      <c r="Q349" s="21" t="str">
        <f>HYPERLINK("obsidian://open?vault=o2&amp;file=8%20Easy%20Food%20Plating%20Hacks%20That%20Will%20Blow%20You%20Away.md","8 Easy Food Plating Hacks That Will Blow You Away")</f>
        <v>8 Easy Food Plating Hacks That Will Blow You Away</v>
      </c>
      <c r="R349" s="11" t="s">
        <v>175</v>
      </c>
      <c r="S349"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T349" s="11" t="s">
        <v>175</v>
      </c>
      <c r="AR349" s="11">
        <f>SUBTOTAL(3,_xlfn.SINGLE(tbl_pros[RowId]))</f>
        <v>1</v>
      </c>
    </row>
    <row r="350" spans="10:44">
      <c r="J350" s="4">
        <v>340</v>
      </c>
      <c r="K350" s="20" t="s">
        <v>48</v>
      </c>
      <c r="L350" s="2" t="s">
        <v>764</v>
      </c>
      <c r="M350" s="4">
        <v>1</v>
      </c>
      <c r="N350" s="4" t="s">
        <v>765</v>
      </c>
      <c r="O350" s="21" t="str">
        <f t="shared" si="2"/>
        <v>The Food Expiration Dates You Should Actually Follow</v>
      </c>
      <c r="P350" s="11" t="s">
        <v>175</v>
      </c>
      <c r="AR350" s="11">
        <f>SUBTOTAL(3,_xlfn.SINGLE(tbl_pros[RowId]))</f>
        <v>1</v>
      </c>
    </row>
    <row r="351" spans="10:44">
      <c r="J351" s="4">
        <v>341</v>
      </c>
      <c r="K351" s="20" t="s">
        <v>48</v>
      </c>
      <c r="L351" s="2" t="s">
        <v>766</v>
      </c>
      <c r="M351" s="4">
        <v>1</v>
      </c>
      <c r="N351" s="4" t="s">
        <v>767</v>
      </c>
      <c r="O351" s="21" t="str">
        <f t="shared" si="2"/>
        <v>The Food Expiration Dates You Should Actually Follow</v>
      </c>
      <c r="P351" s="11" t="s">
        <v>175</v>
      </c>
      <c r="AR351" s="11">
        <f>SUBTOTAL(3,_xlfn.SINGLE(tbl_pros[RowId]))</f>
        <v>1</v>
      </c>
    </row>
    <row r="352" spans="10:44">
      <c r="J352" s="4">
        <v>342</v>
      </c>
      <c r="K352" s="20" t="s">
        <v>48</v>
      </c>
      <c r="L352" s="2" t="s">
        <v>768</v>
      </c>
      <c r="M352" s="4">
        <v>1</v>
      </c>
      <c r="N352" s="4" t="s">
        <v>769</v>
      </c>
      <c r="O352" s="21" t="str">
        <f t="shared" si="2"/>
        <v>The Food Expiration Dates You Should Actually Follow</v>
      </c>
      <c r="P352" s="11" t="s">
        <v>175</v>
      </c>
      <c r="AR352" s="11">
        <f>SUBTOTAL(3,_xlfn.SINGLE(tbl_pros[RowId]))</f>
        <v>1</v>
      </c>
    </row>
    <row r="353" spans="10:44">
      <c r="J353" s="4">
        <v>343</v>
      </c>
      <c r="K353" s="20" t="s">
        <v>48</v>
      </c>
      <c r="L353" s="2" t="s">
        <v>770</v>
      </c>
      <c r="M353" s="4">
        <v>1</v>
      </c>
      <c r="N353" s="4" t="s">
        <v>771</v>
      </c>
      <c r="O353" s="21" t="str">
        <f>HYPERLINK("obsidian://open?vault=o2&amp;file=Zimaboard%20Hardware%20Ports.md","Zimaboard Hardware Ports")</f>
        <v>Zimaboard Hardware Ports</v>
      </c>
      <c r="P353" s="11" t="s">
        <v>175</v>
      </c>
      <c r="AR353" s="11">
        <f>SUBTOTAL(3,_xlfn.SINGLE(tbl_pros[RowId]))</f>
        <v>1</v>
      </c>
    </row>
    <row r="354" spans="10:44">
      <c r="J354" s="4">
        <v>344</v>
      </c>
      <c r="K354" s="20" t="s">
        <v>48</v>
      </c>
      <c r="L354" s="2"/>
      <c r="M354" s="4">
        <v>8</v>
      </c>
      <c r="N354" s="4" t="s">
        <v>772</v>
      </c>
      <c r="O354" s="21" t="str">
        <f>HYPERLINK("obsidian://open?vault=o2&amp;file=Unicoding%20-%20In%20Brief.md","Unicoding - In Brief")</f>
        <v>Unicoding - In Brief</v>
      </c>
      <c r="P354" s="11" t="s">
        <v>175</v>
      </c>
      <c r="Q354" s="21" t="str">
        <f>HYPERLINK("obsidian://open?vault=o2&amp;file=Emoji%20Study.md","Emoji Study")</f>
        <v>Emoji Study</v>
      </c>
      <c r="R354" s="11" t="s">
        <v>175</v>
      </c>
      <c r="S354" s="21" t="str">
        <f>HYPERLINK("obsidian://open?vault=o2&amp;file=My%20Theme%20Management.md","My Theme Management")</f>
        <v>My Theme Management</v>
      </c>
      <c r="T354" s="11" t="s">
        <v>175</v>
      </c>
      <c r="U354" s="21" t="str">
        <f>HYPERLINK("obsidian://open?vault=o2&amp;file=Windows%2011%20Boot%20Issues%20Log.md","Windows 11 Boot Issues Log")</f>
        <v>Windows 11 Boot Issues Log</v>
      </c>
      <c r="V354" s="11" t="s">
        <v>175</v>
      </c>
      <c r="W354" s="21" t="str">
        <f>HYPERLINK("obsidian://open?vault=o2&amp;file=Blooms%20Taxonomy-Higher%20Order%20Thinking.md","Blooms Taxonomy-Higher Order Thinking")</f>
        <v>Blooms Taxonomy-Higher Order Thinking</v>
      </c>
      <c r="X354" s="11" t="s">
        <v>175</v>
      </c>
      <c r="Y354" s="21" t="str">
        <f>HYPERLINK("obsidian://open?vault=o2&amp;file=My%20PARA.md","My PARA")</f>
        <v>My PARA</v>
      </c>
      <c r="Z354" s="11" t="s">
        <v>175</v>
      </c>
      <c r="AA354" s="21" t="str">
        <f>HYPERLINK("obsidian://open?vault=o2&amp;file=Useful%20Browser%20Dev%20Mode%20Tips%20%26%20Tricks.md","Useful Browser Dev Mode Tips &amp; Tricks")</f>
        <v>Useful Browser Dev Mode Tips &amp; Tricks</v>
      </c>
      <c r="AB354" s="11" t="s">
        <v>175</v>
      </c>
      <c r="AC354" s="21" t="str">
        <f>HYPERLINK("obsidian://open?vault=o2&amp;file=Useful%20Words.md","Useful Words")</f>
        <v>Useful Words</v>
      </c>
      <c r="AD354" s="11" t="s">
        <v>175</v>
      </c>
      <c r="AR354" s="11">
        <f>SUBTOTAL(3,_xlfn.SINGLE(tbl_pros[RowId]))</f>
        <v>1</v>
      </c>
    </row>
    <row r="355" spans="10:44">
      <c r="J355" s="4">
        <v>345</v>
      </c>
      <c r="K355" s="20" t="s">
        <v>48</v>
      </c>
      <c r="L355" s="2"/>
      <c r="M355" s="4">
        <v>7</v>
      </c>
      <c r="N355" s="4" t="s">
        <v>773</v>
      </c>
      <c r="O355" s="21" t="str">
        <f>HYPERLINK("obsidian://open?vault=o2&amp;file=YAML%20Fix%20Tool.md","YAML Fix Tool")</f>
        <v>YAML Fix Tool</v>
      </c>
      <c r="P355" s="11" t="s">
        <v>175</v>
      </c>
      <c r="Q355" s="21" t="str">
        <f>HYPERLINK("obsidian://open?vault=o2&amp;file=Notes%20on%20Python%20Class%20Objects.md","Notes on Python Class Objects")</f>
        <v>Notes on Python Class Objects</v>
      </c>
      <c r="R355" s="11" t="s">
        <v>175</v>
      </c>
      <c r="S355" s="21" t="str">
        <f>HYPERLINK("obsidian://open?vault=o2&amp;file=My%20Sizes.md","My Sizes")</f>
        <v>My Sizes</v>
      </c>
      <c r="T355" s="11" t="s">
        <v>175</v>
      </c>
      <c r="U355" s="21" t="str">
        <f>HYPERLINK("obsidian://open?vault=o2&amp;file=Physical%20Fitness%20Workout%20Plan.md","Physical Fitness Workout Plan")</f>
        <v>Physical Fitness Workout Plan</v>
      </c>
      <c r="V355" s="11" t="s">
        <v>175</v>
      </c>
      <c r="W355" s="21" t="str">
        <f>HYPERLINK("obsidian://open?vault=o2&amp;file=Obsidian%20Vault%20Healthcheck%20v.1.md","Obsidian Vault Healthcheck v.1")</f>
        <v>Obsidian Vault Healthcheck v.1</v>
      </c>
      <c r="X355" s="11" t="s">
        <v>175</v>
      </c>
      <c r="Y355" s="21" t="str">
        <f>HYPERLINK("obsidian://open?vault=o2&amp;file=InboxNote%20Template.md","InboxNote Template")</f>
        <v>InboxNote Template</v>
      </c>
      <c r="Z355" s="11" t="s">
        <v>175</v>
      </c>
      <c r="AA355" s="21" t="str">
        <f>HYPERLINK("obsidian://open?vault=o2&amp;file=Note%20Template.md","Note Template")</f>
        <v>Note Template</v>
      </c>
      <c r="AB355" s="11" t="s">
        <v>175</v>
      </c>
      <c r="AR355" s="11">
        <f>SUBTOTAL(3,_xlfn.SINGLE(tbl_pros[RowId]))</f>
        <v>1</v>
      </c>
    </row>
    <row r="356" spans="10:44">
      <c r="J356" s="4">
        <v>346</v>
      </c>
      <c r="K356" s="20" t="s">
        <v>48</v>
      </c>
      <c r="L356" s="2" t="s">
        <v>774</v>
      </c>
      <c r="M356" s="4">
        <v>1</v>
      </c>
      <c r="N356" s="4" t="s">
        <v>775</v>
      </c>
      <c r="O356" s="21" t="str">
        <f>HYPERLINK("obsidian://open?vault=o2&amp;file=How%20I%20export%20dataviews.md","How I export dataviews")</f>
        <v>How I export dataviews</v>
      </c>
      <c r="P356" s="11" t="s">
        <v>175</v>
      </c>
      <c r="AR356" s="11">
        <f>SUBTOTAL(3,_xlfn.SINGLE(tbl_pros[RowId]))</f>
        <v>1</v>
      </c>
    </row>
    <row r="357" spans="10:44">
      <c r="J357" s="4">
        <v>347</v>
      </c>
      <c r="K357" s="20" t="s">
        <v>48</v>
      </c>
      <c r="L357" s="2" t="s">
        <v>776</v>
      </c>
      <c r="M357" s="4">
        <v>1</v>
      </c>
      <c r="N357" s="4" t="s">
        <v>777</v>
      </c>
      <c r="O357" s="21" t="str">
        <f>HYPERLINK("obsidian://open?vault=o2&amp;file=How%20I%20export%20dataviews.md","How I export dataviews")</f>
        <v>How I export dataviews</v>
      </c>
      <c r="P357" s="11" t="s">
        <v>175</v>
      </c>
      <c r="AR357" s="11">
        <f>SUBTOTAL(3,_xlfn.SINGLE(tbl_pros[RowId]))</f>
        <v>1</v>
      </c>
    </row>
    <row r="358" spans="10:44">
      <c r="J358" s="4">
        <v>348</v>
      </c>
      <c r="K358" s="20" t="s">
        <v>48</v>
      </c>
      <c r="L358" s="2" t="s">
        <v>778</v>
      </c>
      <c r="M358" s="4">
        <v>1</v>
      </c>
      <c r="N358" s="4" t="s">
        <v>779</v>
      </c>
      <c r="O358" s="21" t="str">
        <f>HYPERLINK("obsidian://open?vault=o2&amp;file=How%20I%20export%20dataviews.md","How I export dataviews")</f>
        <v>How I export dataviews</v>
      </c>
      <c r="P358" s="11" t="s">
        <v>175</v>
      </c>
      <c r="AR358" s="11">
        <f>SUBTOTAL(3,_xlfn.SINGLE(tbl_pros[RowId]))</f>
        <v>1</v>
      </c>
    </row>
    <row r="359" spans="10:44">
      <c r="J359" s="4">
        <v>349</v>
      </c>
      <c r="K359" s="20" t="s">
        <v>48</v>
      </c>
      <c r="L359" s="2" t="s">
        <v>780</v>
      </c>
      <c r="M359" s="4">
        <v>1</v>
      </c>
      <c r="N359" s="4" t="s">
        <v>781</v>
      </c>
      <c r="O359" s="21" t="str">
        <f>HYPERLINK("obsidian://open?vault=o2&amp;file=How%20I%20export%20dataviews.md","How I export dataviews")</f>
        <v>How I export dataviews</v>
      </c>
      <c r="P359" s="11" t="s">
        <v>175</v>
      </c>
      <c r="AR359" s="11">
        <f>SUBTOTAL(3,_xlfn.SINGLE(tbl_pros[RowId]))</f>
        <v>1</v>
      </c>
    </row>
    <row r="360" spans="10:44">
      <c r="J360" s="4">
        <v>350</v>
      </c>
      <c r="K360" s="20" t="s">
        <v>48</v>
      </c>
      <c r="L360" s="2" t="s">
        <v>782</v>
      </c>
      <c r="M360" s="4">
        <v>1</v>
      </c>
      <c r="N360" s="4" t="s">
        <v>783</v>
      </c>
      <c r="O360" s="21" t="str">
        <f>HYPERLINK("obsidian://open?vault=o2&amp;file=How%20I%20export%20dataviews.md","How I export dataviews")</f>
        <v>How I export dataviews</v>
      </c>
      <c r="P360" s="11" t="s">
        <v>175</v>
      </c>
      <c r="AR360" s="11">
        <f>SUBTOTAL(3,_xlfn.SINGLE(tbl_pros[RowId]))</f>
        <v>1</v>
      </c>
    </row>
    <row r="361" spans="10:44">
      <c r="J361" s="4">
        <v>351</v>
      </c>
      <c r="K361" s="20" t="s">
        <v>48</v>
      </c>
      <c r="L361" s="2" t="s">
        <v>784</v>
      </c>
      <c r="M361" s="4">
        <v>1</v>
      </c>
      <c r="N361" s="4" t="s">
        <v>785</v>
      </c>
      <c r="O361" s="21" t="str">
        <f>HYPERLINK("obsidian://open?vault=o2&amp;file=Fix%20Sound%20on%20Movies.md","Fix Sound on Movies")</f>
        <v>Fix Sound on Movies</v>
      </c>
      <c r="P361" s="11" t="s">
        <v>175</v>
      </c>
      <c r="AR361" s="11">
        <f>SUBTOTAL(3,_xlfn.SINGLE(tbl_pros[RowId]))</f>
        <v>1</v>
      </c>
    </row>
    <row r="362" spans="10:44">
      <c r="J362" s="4">
        <v>352</v>
      </c>
      <c r="K362" s="20" t="s">
        <v>48</v>
      </c>
      <c r="L362" s="2" t="s">
        <v>786</v>
      </c>
      <c r="M362" s="4">
        <v>1</v>
      </c>
      <c r="N362" s="4" t="s">
        <v>787</v>
      </c>
      <c r="O362" s="21" t="str">
        <f>HYPERLINK("obsidian://open?vault=o2&amp;file=Fix%20Sound%20on%20Movies.md","Fix Sound on Movies")</f>
        <v>Fix Sound on Movies</v>
      </c>
      <c r="P362" s="11" t="s">
        <v>175</v>
      </c>
      <c r="AR362" s="11">
        <f>SUBTOTAL(3,_xlfn.SINGLE(tbl_pros[RowId]))</f>
        <v>1</v>
      </c>
    </row>
    <row r="363" spans="10:44">
      <c r="J363" s="4">
        <v>353</v>
      </c>
      <c r="K363" s="20" t="s">
        <v>48</v>
      </c>
      <c r="L363" s="2" t="s">
        <v>788</v>
      </c>
      <c r="M363" s="4">
        <v>1</v>
      </c>
      <c r="N363" s="4" t="s">
        <v>789</v>
      </c>
      <c r="O363" s="21" t="str">
        <f>HYPERLINK("obsidian://open?vault=o2&amp;file=Fix%20Sound%20on%20Movies.md","Fix Sound on Movies")</f>
        <v>Fix Sound on Movies</v>
      </c>
      <c r="P363" s="11" t="s">
        <v>175</v>
      </c>
      <c r="AR363" s="11">
        <f>SUBTOTAL(3,_xlfn.SINGLE(tbl_pros[RowId]))</f>
        <v>1</v>
      </c>
    </row>
    <row r="364" spans="10:44">
      <c r="J364" s="4">
        <v>354</v>
      </c>
      <c r="K364" s="20" t="s">
        <v>48</v>
      </c>
      <c r="L364" s="2" t="s">
        <v>790</v>
      </c>
      <c r="M364" s="4">
        <v>1</v>
      </c>
      <c r="N364" s="4" t="s">
        <v>791</v>
      </c>
      <c r="O364" s="21" t="str">
        <f>HYPERLINK("obsidian://open?vault=o2&amp;file=13%20Crucial%20Questions%20to%20Ask%20a%20Realtor%20When%20Selling.md","13 Crucial Questions to Ask a Realtor When Selling")</f>
        <v>13 Crucial Questions to Ask a Realtor When Selling</v>
      </c>
      <c r="P364" s="11" t="s">
        <v>175</v>
      </c>
      <c r="AR364" s="11">
        <f>SUBTOTAL(3,_xlfn.SINGLE(tbl_pros[RowId]))</f>
        <v>1</v>
      </c>
    </row>
    <row r="365" spans="10:44">
      <c r="J365" s="4">
        <v>355</v>
      </c>
      <c r="K365" s="20" t="s">
        <v>48</v>
      </c>
      <c r="L365" s="2" t="s">
        <v>792</v>
      </c>
      <c r="M365" s="4">
        <v>1</v>
      </c>
      <c r="N365" s="4" t="s">
        <v>793</v>
      </c>
      <c r="O365" s="21" t="str">
        <f>HYPERLINK("obsidian://open?vault=o2&amp;file=13%20Crucial%20Questions%20to%20Ask%20a%20Realtor%20When%20Selling.md","13 Crucial Questions to Ask a Realtor When Selling")</f>
        <v>13 Crucial Questions to Ask a Realtor When Selling</v>
      </c>
      <c r="P365" s="11" t="s">
        <v>175</v>
      </c>
      <c r="AR365" s="11">
        <f>SUBTOTAL(3,_xlfn.SINGLE(tbl_pros[RowId]))</f>
        <v>1</v>
      </c>
    </row>
    <row r="366" spans="10:44">
      <c r="J366" s="4">
        <v>356</v>
      </c>
      <c r="K366" s="20" t="s">
        <v>48</v>
      </c>
      <c r="L366" s="2" t="s">
        <v>794</v>
      </c>
      <c r="M366" s="4">
        <v>1</v>
      </c>
      <c r="N366" s="4" t="s">
        <v>795</v>
      </c>
      <c r="O366" s="21" t="str">
        <f>HYPERLINK("obsidian://open?vault=o2&amp;file=13%20Crucial%20Questions%20to%20Ask%20a%20Realtor%20When%20Selling.md","13 Crucial Questions to Ask a Realtor When Selling")</f>
        <v>13 Crucial Questions to Ask a Realtor When Selling</v>
      </c>
      <c r="P366" s="11" t="s">
        <v>175</v>
      </c>
      <c r="AR366" s="11">
        <f>SUBTOTAL(3,_xlfn.SINGLE(tbl_pros[RowId]))</f>
        <v>1</v>
      </c>
    </row>
    <row r="367" spans="10:44">
      <c r="J367" s="4">
        <v>357</v>
      </c>
      <c r="K367" s="20" t="s">
        <v>48</v>
      </c>
      <c r="L367" s="2" t="s">
        <v>796</v>
      </c>
      <c r="M367" s="4">
        <v>1</v>
      </c>
      <c r="N367" s="4" t="s">
        <v>797</v>
      </c>
      <c r="O367" s="21" t="str">
        <f>HYPERLINK("obsidian://open?vault=o2&amp;file=13%20Crucial%20Questions%20to%20Ask%20a%20Realtor%20When%20Selling.md","13 Crucial Questions to Ask a Realtor When Selling")</f>
        <v>13 Crucial Questions to Ask a Realtor When Selling</v>
      </c>
      <c r="P367" s="11" t="s">
        <v>175</v>
      </c>
      <c r="AR367" s="11">
        <f>SUBTOTAL(3,_xlfn.SINGLE(tbl_pros[RowId]))</f>
        <v>1</v>
      </c>
    </row>
    <row r="368" spans="10:44">
      <c r="J368" s="4">
        <v>358</v>
      </c>
      <c r="K368" s="20" t="s">
        <v>48</v>
      </c>
      <c r="L368" s="2" t="s">
        <v>798</v>
      </c>
      <c r="M368" s="4">
        <v>1</v>
      </c>
      <c r="N368" s="4" t="s">
        <v>799</v>
      </c>
      <c r="O368" s="21" t="str">
        <f t="shared" ref="O368:O390" si="3">HYPERLINK("obsidian://open?vault=o2&amp;file=Computer%20Cable%20Types.md","Computer Cable Types")</f>
        <v>Computer Cable Types</v>
      </c>
      <c r="P368" s="11" t="s">
        <v>175</v>
      </c>
      <c r="AR368" s="11">
        <f>SUBTOTAL(3,_xlfn.SINGLE(tbl_pros[RowId]))</f>
        <v>1</v>
      </c>
    </row>
    <row r="369" spans="10:44">
      <c r="J369" s="4">
        <v>359</v>
      </c>
      <c r="K369" s="20" t="s">
        <v>48</v>
      </c>
      <c r="L369" s="2" t="s">
        <v>800</v>
      </c>
      <c r="M369" s="4">
        <v>1</v>
      </c>
      <c r="N369" s="4" t="s">
        <v>801</v>
      </c>
      <c r="O369" s="21" t="str">
        <f t="shared" si="3"/>
        <v>Computer Cable Types</v>
      </c>
      <c r="P369" s="11" t="s">
        <v>175</v>
      </c>
      <c r="AR369" s="11">
        <f>SUBTOTAL(3,_xlfn.SINGLE(tbl_pros[RowId]))</f>
        <v>1</v>
      </c>
    </row>
    <row r="370" spans="10:44">
      <c r="J370" s="4">
        <v>360</v>
      </c>
      <c r="K370" s="20" t="s">
        <v>48</v>
      </c>
      <c r="L370" s="2" t="s">
        <v>802</v>
      </c>
      <c r="M370" s="4">
        <v>1</v>
      </c>
      <c r="N370" s="4" t="s">
        <v>803</v>
      </c>
      <c r="O370" s="21" t="str">
        <f t="shared" si="3"/>
        <v>Computer Cable Types</v>
      </c>
      <c r="P370" s="11" t="s">
        <v>175</v>
      </c>
      <c r="AR370" s="11">
        <f>SUBTOTAL(3,_xlfn.SINGLE(tbl_pros[RowId]))</f>
        <v>1</v>
      </c>
    </row>
    <row r="371" spans="10:44">
      <c r="J371" s="4">
        <v>361</v>
      </c>
      <c r="K371" s="20" t="s">
        <v>48</v>
      </c>
      <c r="L371" s="2" t="s">
        <v>804</v>
      </c>
      <c r="M371" s="4">
        <v>1</v>
      </c>
      <c r="N371" s="4" t="s">
        <v>805</v>
      </c>
      <c r="O371" s="21" t="str">
        <f t="shared" si="3"/>
        <v>Computer Cable Types</v>
      </c>
      <c r="P371" s="11" t="s">
        <v>175</v>
      </c>
      <c r="AR371" s="11">
        <f>SUBTOTAL(3,_xlfn.SINGLE(tbl_pros[RowId]))</f>
        <v>1</v>
      </c>
    </row>
    <row r="372" spans="10:44">
      <c r="J372" s="4">
        <v>362</v>
      </c>
      <c r="K372" s="20" t="s">
        <v>48</v>
      </c>
      <c r="L372" s="2" t="s">
        <v>806</v>
      </c>
      <c r="M372" s="4">
        <v>1</v>
      </c>
      <c r="N372" s="4" t="s">
        <v>807</v>
      </c>
      <c r="O372" s="21" t="str">
        <f t="shared" si="3"/>
        <v>Computer Cable Types</v>
      </c>
      <c r="P372" s="11" t="s">
        <v>175</v>
      </c>
      <c r="AR372" s="11">
        <f>SUBTOTAL(3,_xlfn.SINGLE(tbl_pros[RowId]))</f>
        <v>1</v>
      </c>
    </row>
    <row r="373" spans="10:44">
      <c r="J373" s="4">
        <v>363</v>
      </c>
      <c r="K373" s="20" t="s">
        <v>48</v>
      </c>
      <c r="L373" s="2" t="s">
        <v>808</v>
      </c>
      <c r="M373" s="4">
        <v>1</v>
      </c>
      <c r="N373" s="4" t="s">
        <v>809</v>
      </c>
      <c r="O373" s="21" t="str">
        <f t="shared" si="3"/>
        <v>Computer Cable Types</v>
      </c>
      <c r="P373" s="11" t="s">
        <v>175</v>
      </c>
      <c r="AR373" s="11">
        <f>SUBTOTAL(3,_xlfn.SINGLE(tbl_pros[RowId]))</f>
        <v>1</v>
      </c>
    </row>
    <row r="374" spans="10:44">
      <c r="J374" s="4">
        <v>364</v>
      </c>
      <c r="K374" s="20" t="s">
        <v>48</v>
      </c>
      <c r="L374" s="2" t="s">
        <v>810</v>
      </c>
      <c r="M374" s="4">
        <v>1</v>
      </c>
      <c r="N374" s="4" t="s">
        <v>811</v>
      </c>
      <c r="O374" s="21" t="str">
        <f t="shared" si="3"/>
        <v>Computer Cable Types</v>
      </c>
      <c r="P374" s="11" t="s">
        <v>175</v>
      </c>
      <c r="AR374" s="11">
        <f>SUBTOTAL(3,_xlfn.SINGLE(tbl_pros[RowId]))</f>
        <v>1</v>
      </c>
    </row>
    <row r="375" spans="10:44">
      <c r="J375" s="4">
        <v>365</v>
      </c>
      <c r="K375" s="20" t="s">
        <v>48</v>
      </c>
      <c r="L375" s="2" t="s">
        <v>812</v>
      </c>
      <c r="M375" s="4">
        <v>1</v>
      </c>
      <c r="N375" s="4" t="s">
        <v>813</v>
      </c>
      <c r="O375" s="21" t="str">
        <f t="shared" si="3"/>
        <v>Computer Cable Types</v>
      </c>
      <c r="P375" s="11" t="s">
        <v>175</v>
      </c>
      <c r="AR375" s="11">
        <f>SUBTOTAL(3,_xlfn.SINGLE(tbl_pros[RowId]))</f>
        <v>1</v>
      </c>
    </row>
    <row r="376" spans="10:44">
      <c r="J376" s="4">
        <v>366</v>
      </c>
      <c r="K376" s="20" t="s">
        <v>48</v>
      </c>
      <c r="L376" s="2" t="s">
        <v>814</v>
      </c>
      <c r="M376" s="4">
        <v>1</v>
      </c>
      <c r="N376" s="4" t="s">
        <v>815</v>
      </c>
      <c r="O376" s="21" t="str">
        <f t="shared" si="3"/>
        <v>Computer Cable Types</v>
      </c>
      <c r="P376" s="11" t="s">
        <v>175</v>
      </c>
      <c r="AR376" s="11">
        <f>SUBTOTAL(3,_xlfn.SINGLE(tbl_pros[RowId]))</f>
        <v>1</v>
      </c>
    </row>
    <row r="377" spans="10:44">
      <c r="J377" s="4">
        <v>367</v>
      </c>
      <c r="K377" s="20" t="s">
        <v>48</v>
      </c>
      <c r="L377" s="2" t="s">
        <v>816</v>
      </c>
      <c r="M377" s="4">
        <v>1</v>
      </c>
      <c r="N377" s="4" t="s">
        <v>817</v>
      </c>
      <c r="O377" s="21" t="str">
        <f t="shared" si="3"/>
        <v>Computer Cable Types</v>
      </c>
      <c r="P377" s="11" t="s">
        <v>175</v>
      </c>
      <c r="AR377" s="11">
        <f>SUBTOTAL(3,_xlfn.SINGLE(tbl_pros[RowId]))</f>
        <v>1</v>
      </c>
    </row>
    <row r="378" spans="10:44">
      <c r="J378" s="4">
        <v>368</v>
      </c>
      <c r="K378" s="20" t="s">
        <v>48</v>
      </c>
      <c r="L378" s="2" t="s">
        <v>818</v>
      </c>
      <c r="M378" s="4">
        <v>1</v>
      </c>
      <c r="N378" s="4" t="s">
        <v>819</v>
      </c>
      <c r="O378" s="21" t="str">
        <f t="shared" si="3"/>
        <v>Computer Cable Types</v>
      </c>
      <c r="P378" s="11" t="s">
        <v>175</v>
      </c>
      <c r="AR378" s="11">
        <f>SUBTOTAL(3,_xlfn.SINGLE(tbl_pros[RowId]))</f>
        <v>1</v>
      </c>
    </row>
    <row r="379" spans="10:44">
      <c r="J379" s="4">
        <v>369</v>
      </c>
      <c r="K379" s="20" t="s">
        <v>48</v>
      </c>
      <c r="L379" s="2" t="s">
        <v>820</v>
      </c>
      <c r="M379" s="4">
        <v>1</v>
      </c>
      <c r="N379" s="4" t="s">
        <v>821</v>
      </c>
      <c r="O379" s="21" t="str">
        <f t="shared" si="3"/>
        <v>Computer Cable Types</v>
      </c>
      <c r="P379" s="11" t="s">
        <v>175</v>
      </c>
      <c r="AR379" s="11">
        <f>SUBTOTAL(3,_xlfn.SINGLE(tbl_pros[RowId]))</f>
        <v>1</v>
      </c>
    </row>
    <row r="380" spans="10:44">
      <c r="J380" s="4">
        <v>370</v>
      </c>
      <c r="K380" s="20" t="s">
        <v>48</v>
      </c>
      <c r="L380" s="2" t="s">
        <v>822</v>
      </c>
      <c r="M380" s="4">
        <v>1</v>
      </c>
      <c r="N380" s="4" t="s">
        <v>823</v>
      </c>
      <c r="O380" s="21" t="str">
        <f t="shared" si="3"/>
        <v>Computer Cable Types</v>
      </c>
      <c r="P380" s="11" t="s">
        <v>175</v>
      </c>
      <c r="AR380" s="11">
        <f>SUBTOTAL(3,_xlfn.SINGLE(tbl_pros[RowId]))</f>
        <v>1</v>
      </c>
    </row>
    <row r="381" spans="10:44">
      <c r="J381" s="4">
        <v>371</v>
      </c>
      <c r="K381" s="20" t="s">
        <v>48</v>
      </c>
      <c r="L381" s="2" t="s">
        <v>824</v>
      </c>
      <c r="M381" s="4">
        <v>1</v>
      </c>
      <c r="N381" s="4" t="s">
        <v>825</v>
      </c>
      <c r="O381" s="21" t="str">
        <f t="shared" si="3"/>
        <v>Computer Cable Types</v>
      </c>
      <c r="P381" s="11" t="s">
        <v>175</v>
      </c>
      <c r="AR381" s="11">
        <f>SUBTOTAL(3,_xlfn.SINGLE(tbl_pros[RowId]))</f>
        <v>1</v>
      </c>
    </row>
    <row r="382" spans="10:44">
      <c r="J382" s="4">
        <v>372</v>
      </c>
      <c r="K382" s="20" t="s">
        <v>48</v>
      </c>
      <c r="L382" s="2" t="s">
        <v>826</v>
      </c>
      <c r="M382" s="4">
        <v>1</v>
      </c>
      <c r="N382" s="4" t="s">
        <v>827</v>
      </c>
      <c r="O382" s="21" t="str">
        <f t="shared" si="3"/>
        <v>Computer Cable Types</v>
      </c>
      <c r="P382" s="11" t="s">
        <v>175</v>
      </c>
      <c r="AR382" s="11">
        <f>SUBTOTAL(3,_xlfn.SINGLE(tbl_pros[RowId]))</f>
        <v>1</v>
      </c>
    </row>
    <row r="383" spans="10:44">
      <c r="J383" s="4">
        <v>373</v>
      </c>
      <c r="K383" s="20" t="s">
        <v>48</v>
      </c>
      <c r="L383" s="2" t="s">
        <v>828</v>
      </c>
      <c r="M383" s="4">
        <v>1</v>
      </c>
      <c r="N383" s="4" t="s">
        <v>829</v>
      </c>
      <c r="O383" s="21" t="str">
        <f t="shared" si="3"/>
        <v>Computer Cable Types</v>
      </c>
      <c r="P383" s="11" t="s">
        <v>175</v>
      </c>
      <c r="AR383" s="11">
        <f>SUBTOTAL(3,_xlfn.SINGLE(tbl_pros[RowId]))</f>
        <v>1</v>
      </c>
    </row>
    <row r="384" spans="10:44">
      <c r="J384" s="4">
        <v>374</v>
      </c>
      <c r="K384" s="20" t="s">
        <v>48</v>
      </c>
      <c r="L384" s="2" t="s">
        <v>830</v>
      </c>
      <c r="M384" s="4">
        <v>1</v>
      </c>
      <c r="N384" s="4" t="s">
        <v>831</v>
      </c>
      <c r="O384" s="21" t="str">
        <f t="shared" si="3"/>
        <v>Computer Cable Types</v>
      </c>
      <c r="P384" s="11" t="s">
        <v>175</v>
      </c>
      <c r="AR384" s="11">
        <f>SUBTOTAL(3,_xlfn.SINGLE(tbl_pros[RowId]))</f>
        <v>1</v>
      </c>
    </row>
    <row r="385" spans="10:44">
      <c r="J385" s="4">
        <v>375</v>
      </c>
      <c r="K385" s="20" t="s">
        <v>48</v>
      </c>
      <c r="L385" s="2" t="s">
        <v>832</v>
      </c>
      <c r="M385" s="4">
        <v>1</v>
      </c>
      <c r="N385" s="4" t="s">
        <v>833</v>
      </c>
      <c r="O385" s="21" t="str">
        <f t="shared" si="3"/>
        <v>Computer Cable Types</v>
      </c>
      <c r="P385" s="11" t="s">
        <v>175</v>
      </c>
      <c r="AR385" s="11">
        <f>SUBTOTAL(3,_xlfn.SINGLE(tbl_pros[RowId]))</f>
        <v>1</v>
      </c>
    </row>
    <row r="386" spans="10:44">
      <c r="J386" s="4">
        <v>376</v>
      </c>
      <c r="K386" s="20" t="s">
        <v>48</v>
      </c>
      <c r="L386" s="2" t="s">
        <v>834</v>
      </c>
      <c r="M386" s="4">
        <v>1</v>
      </c>
      <c r="N386" s="4" t="s">
        <v>835</v>
      </c>
      <c r="O386" s="21" t="str">
        <f t="shared" si="3"/>
        <v>Computer Cable Types</v>
      </c>
      <c r="P386" s="11" t="s">
        <v>175</v>
      </c>
      <c r="AR386" s="11">
        <f>SUBTOTAL(3,_xlfn.SINGLE(tbl_pros[RowId]))</f>
        <v>1</v>
      </c>
    </row>
    <row r="387" spans="10:44">
      <c r="J387" s="4">
        <v>377</v>
      </c>
      <c r="K387" s="20" t="s">
        <v>48</v>
      </c>
      <c r="L387" s="2" t="s">
        <v>836</v>
      </c>
      <c r="M387" s="4">
        <v>1</v>
      </c>
      <c r="N387" s="4" t="s">
        <v>837</v>
      </c>
      <c r="O387" s="21" t="str">
        <f t="shared" si="3"/>
        <v>Computer Cable Types</v>
      </c>
      <c r="P387" s="11" t="s">
        <v>175</v>
      </c>
      <c r="AR387" s="11">
        <f>SUBTOTAL(3,_xlfn.SINGLE(tbl_pros[RowId]))</f>
        <v>1</v>
      </c>
    </row>
    <row r="388" spans="10:44">
      <c r="J388" s="4">
        <v>378</v>
      </c>
      <c r="K388" s="20" t="s">
        <v>48</v>
      </c>
      <c r="L388" s="2" t="s">
        <v>838</v>
      </c>
      <c r="M388" s="4">
        <v>1</v>
      </c>
      <c r="N388" s="4" t="s">
        <v>839</v>
      </c>
      <c r="O388" s="21" t="str">
        <f t="shared" si="3"/>
        <v>Computer Cable Types</v>
      </c>
      <c r="P388" s="11" t="s">
        <v>175</v>
      </c>
      <c r="AR388" s="11">
        <f>SUBTOTAL(3,_xlfn.SINGLE(tbl_pros[RowId]))</f>
        <v>1</v>
      </c>
    </row>
    <row r="389" spans="10:44">
      <c r="J389" s="4">
        <v>379</v>
      </c>
      <c r="K389" s="20" t="s">
        <v>48</v>
      </c>
      <c r="L389" s="2" t="s">
        <v>840</v>
      </c>
      <c r="M389" s="4">
        <v>1</v>
      </c>
      <c r="N389" s="4" t="s">
        <v>841</v>
      </c>
      <c r="O389" s="21" t="str">
        <f t="shared" si="3"/>
        <v>Computer Cable Types</v>
      </c>
      <c r="P389" s="11" t="s">
        <v>175</v>
      </c>
      <c r="AR389" s="11">
        <f>SUBTOTAL(3,_xlfn.SINGLE(tbl_pros[RowId]))</f>
        <v>1</v>
      </c>
    </row>
    <row r="390" spans="10:44">
      <c r="J390" s="4">
        <v>380</v>
      </c>
      <c r="K390" s="20" t="s">
        <v>48</v>
      </c>
      <c r="L390" s="2" t="s">
        <v>842</v>
      </c>
      <c r="M390" s="4">
        <v>1</v>
      </c>
      <c r="N390" s="4" t="s">
        <v>843</v>
      </c>
      <c r="O390" s="21" t="str">
        <f t="shared" si="3"/>
        <v>Computer Cable Types</v>
      </c>
      <c r="P390" s="11" t="s">
        <v>175</v>
      </c>
      <c r="AR390" s="11">
        <f>SUBTOTAL(3,_xlfn.SINGLE(tbl_pros[RowId]))</f>
        <v>1</v>
      </c>
    </row>
    <row r="391" spans="10:44">
      <c r="J391" s="4">
        <v>381</v>
      </c>
      <c r="K391" s="20" t="s">
        <v>48</v>
      </c>
      <c r="L391" s="2" t="s">
        <v>844</v>
      </c>
      <c r="M391" s="4">
        <v>1</v>
      </c>
      <c r="N391" s="4" t="s">
        <v>845</v>
      </c>
      <c r="O391" s="21" t="str">
        <f>HYPERLINK("obsidian://open?vault=o2&amp;file=Relaxation%20Techniques.md","Relaxation Techniques")</f>
        <v>Relaxation Techniques</v>
      </c>
      <c r="P391" s="11" t="s">
        <v>175</v>
      </c>
      <c r="AR391" s="11">
        <f>SUBTOTAL(3,_xlfn.SINGLE(tbl_pros[RowId]))</f>
        <v>1</v>
      </c>
    </row>
    <row r="392" spans="10:44">
      <c r="J392" s="4">
        <v>382</v>
      </c>
      <c r="K392" s="20" t="s">
        <v>48</v>
      </c>
      <c r="L392" s="2" t="s">
        <v>846</v>
      </c>
      <c r="M392" s="4">
        <v>1</v>
      </c>
      <c r="N392" s="4" t="s">
        <v>847</v>
      </c>
      <c r="O392" s="21" t="str">
        <f>HYPERLINK("obsidian://open?vault=o2&amp;file=Relaxation%20Techniques.md","Relaxation Techniques")</f>
        <v>Relaxation Techniques</v>
      </c>
      <c r="P392" s="11" t="s">
        <v>175</v>
      </c>
      <c r="AR392" s="11">
        <f>SUBTOTAL(3,_xlfn.SINGLE(tbl_pros[RowId]))</f>
        <v>1</v>
      </c>
    </row>
    <row r="393" spans="10:44">
      <c r="J393" s="4">
        <v>383</v>
      </c>
      <c r="K393" s="20" t="s">
        <v>48</v>
      </c>
      <c r="L393" s="2" t="s">
        <v>848</v>
      </c>
      <c r="M393" s="4">
        <v>1</v>
      </c>
      <c r="N393" s="4" t="s">
        <v>849</v>
      </c>
      <c r="O393" s="21" t="str">
        <f>HYPERLINK("obsidian://open?vault=o2&amp;file=Relaxation%20Techniques.md","Relaxation Techniques")</f>
        <v>Relaxation Techniques</v>
      </c>
      <c r="P393" s="11" t="s">
        <v>175</v>
      </c>
      <c r="AR393" s="11">
        <f>SUBTOTAL(3,_xlfn.SINGLE(tbl_pros[RowId]))</f>
        <v>1</v>
      </c>
    </row>
    <row r="394" spans="10:44">
      <c r="J394" s="4">
        <v>384</v>
      </c>
      <c r="K394" s="20" t="s">
        <v>48</v>
      </c>
      <c r="L394" s="2" t="s">
        <v>850</v>
      </c>
      <c r="M394" s="4">
        <v>1</v>
      </c>
      <c r="N394" s="4" t="s">
        <v>851</v>
      </c>
      <c r="O394" s="21" t="str">
        <f t="shared" ref="O394:O404" si="4">HYPERLINK("obsidian://open?vault=o2&amp;file=20%20AMAZING%20Art%20Workspace%20Hacks%20%28FREE%20or%20cheap%21%29.md","20 AMAZING Art Workspace Hacks (FREE or cheap!)")</f>
        <v>20 AMAZING Art Workspace Hacks (FREE or cheap!)</v>
      </c>
      <c r="P394" s="11" t="s">
        <v>175</v>
      </c>
      <c r="AR394" s="11">
        <f>SUBTOTAL(3,_xlfn.SINGLE(tbl_pros[RowId]))</f>
        <v>1</v>
      </c>
    </row>
    <row r="395" spans="10:44">
      <c r="J395" s="4">
        <v>385</v>
      </c>
      <c r="K395" s="20" t="s">
        <v>48</v>
      </c>
      <c r="L395" s="2" t="s">
        <v>852</v>
      </c>
      <c r="M395" s="4">
        <v>1</v>
      </c>
      <c r="N395" s="4" t="s">
        <v>853</v>
      </c>
      <c r="O395" s="21" t="str">
        <f t="shared" si="4"/>
        <v>20 AMAZING Art Workspace Hacks (FREE or cheap!)</v>
      </c>
      <c r="P395" s="11" t="s">
        <v>175</v>
      </c>
      <c r="AR395" s="11">
        <f>SUBTOTAL(3,_xlfn.SINGLE(tbl_pros[RowId]))</f>
        <v>1</v>
      </c>
    </row>
    <row r="396" spans="10:44">
      <c r="J396" s="4">
        <v>386</v>
      </c>
      <c r="K396" s="20" t="s">
        <v>48</v>
      </c>
      <c r="L396" s="2" t="s">
        <v>854</v>
      </c>
      <c r="M396" s="4">
        <v>1</v>
      </c>
      <c r="N396" s="4" t="s">
        <v>855</v>
      </c>
      <c r="O396" s="21" t="str">
        <f t="shared" si="4"/>
        <v>20 AMAZING Art Workspace Hacks (FREE or cheap!)</v>
      </c>
      <c r="P396" s="11" t="s">
        <v>175</v>
      </c>
      <c r="AR396" s="11">
        <f>SUBTOTAL(3,_xlfn.SINGLE(tbl_pros[RowId]))</f>
        <v>1</v>
      </c>
    </row>
    <row r="397" spans="10:44">
      <c r="J397" s="4">
        <v>387</v>
      </c>
      <c r="K397" s="20" t="s">
        <v>48</v>
      </c>
      <c r="L397" s="2" t="s">
        <v>856</v>
      </c>
      <c r="M397" s="4">
        <v>1</v>
      </c>
      <c r="N397" s="4" t="s">
        <v>857</v>
      </c>
      <c r="O397" s="21" t="str">
        <f t="shared" si="4"/>
        <v>20 AMAZING Art Workspace Hacks (FREE or cheap!)</v>
      </c>
      <c r="P397" s="11" t="s">
        <v>175</v>
      </c>
      <c r="AR397" s="11">
        <f>SUBTOTAL(3,_xlfn.SINGLE(tbl_pros[RowId]))</f>
        <v>1</v>
      </c>
    </row>
    <row r="398" spans="10:44">
      <c r="J398" s="4">
        <v>388</v>
      </c>
      <c r="K398" s="20" t="s">
        <v>48</v>
      </c>
      <c r="L398" s="2" t="s">
        <v>858</v>
      </c>
      <c r="M398" s="4">
        <v>1</v>
      </c>
      <c r="N398" s="4" t="s">
        <v>859</v>
      </c>
      <c r="O398" s="21" t="str">
        <f t="shared" si="4"/>
        <v>20 AMAZING Art Workspace Hacks (FREE or cheap!)</v>
      </c>
      <c r="P398" s="11" t="s">
        <v>175</v>
      </c>
      <c r="AR398" s="11">
        <f>SUBTOTAL(3,_xlfn.SINGLE(tbl_pros[RowId]))</f>
        <v>1</v>
      </c>
    </row>
    <row r="399" spans="10:44">
      <c r="J399" s="4">
        <v>389</v>
      </c>
      <c r="K399" s="20" t="s">
        <v>48</v>
      </c>
      <c r="L399" s="2" t="s">
        <v>860</v>
      </c>
      <c r="M399" s="4">
        <v>1</v>
      </c>
      <c r="N399" s="4" t="s">
        <v>861</v>
      </c>
      <c r="O399" s="21" t="str">
        <f t="shared" si="4"/>
        <v>20 AMAZING Art Workspace Hacks (FREE or cheap!)</v>
      </c>
      <c r="P399" s="11" t="s">
        <v>175</v>
      </c>
      <c r="AR399" s="11">
        <f>SUBTOTAL(3,_xlfn.SINGLE(tbl_pros[RowId]))</f>
        <v>1</v>
      </c>
    </row>
    <row r="400" spans="10:44">
      <c r="J400" s="4">
        <v>390</v>
      </c>
      <c r="K400" s="20" t="s">
        <v>48</v>
      </c>
      <c r="L400" s="2" t="s">
        <v>862</v>
      </c>
      <c r="M400" s="4">
        <v>1</v>
      </c>
      <c r="N400" s="4" t="s">
        <v>863</v>
      </c>
      <c r="O400" s="21" t="str">
        <f t="shared" si="4"/>
        <v>20 AMAZING Art Workspace Hacks (FREE or cheap!)</v>
      </c>
      <c r="P400" s="11" t="s">
        <v>175</v>
      </c>
      <c r="AR400" s="11">
        <f>SUBTOTAL(3,_xlfn.SINGLE(tbl_pros[RowId]))</f>
        <v>1</v>
      </c>
    </row>
    <row r="401" spans="10:44">
      <c r="J401" s="4">
        <v>391</v>
      </c>
      <c r="K401" s="20" t="s">
        <v>48</v>
      </c>
      <c r="L401" s="2" t="s">
        <v>864</v>
      </c>
      <c r="M401" s="4">
        <v>1</v>
      </c>
      <c r="N401" s="4" t="s">
        <v>865</v>
      </c>
      <c r="O401" s="21" t="str">
        <f t="shared" si="4"/>
        <v>20 AMAZING Art Workspace Hacks (FREE or cheap!)</v>
      </c>
      <c r="P401" s="11" t="s">
        <v>175</v>
      </c>
      <c r="AR401" s="11">
        <f>SUBTOTAL(3,_xlfn.SINGLE(tbl_pros[RowId]))</f>
        <v>1</v>
      </c>
    </row>
    <row r="402" spans="10:44">
      <c r="J402" s="4">
        <v>392</v>
      </c>
      <c r="K402" s="20" t="s">
        <v>48</v>
      </c>
      <c r="L402" s="2" t="s">
        <v>866</v>
      </c>
      <c r="M402" s="4">
        <v>1</v>
      </c>
      <c r="N402" s="4" t="s">
        <v>867</v>
      </c>
      <c r="O402" s="21" t="str">
        <f t="shared" si="4"/>
        <v>20 AMAZING Art Workspace Hacks (FREE or cheap!)</v>
      </c>
      <c r="P402" s="11" t="s">
        <v>175</v>
      </c>
      <c r="AR402" s="11">
        <f>SUBTOTAL(3,_xlfn.SINGLE(tbl_pros[RowId]))</f>
        <v>1</v>
      </c>
    </row>
    <row r="403" spans="10:44">
      <c r="J403" s="4">
        <v>393</v>
      </c>
      <c r="K403" s="20" t="s">
        <v>48</v>
      </c>
      <c r="L403" s="2" t="s">
        <v>868</v>
      </c>
      <c r="M403" s="4">
        <v>1</v>
      </c>
      <c r="N403" s="4" t="s">
        <v>869</v>
      </c>
      <c r="O403" s="21" t="str">
        <f t="shared" si="4"/>
        <v>20 AMAZING Art Workspace Hacks (FREE or cheap!)</v>
      </c>
      <c r="P403" s="11" t="s">
        <v>175</v>
      </c>
      <c r="AR403" s="11">
        <f>SUBTOTAL(3,_xlfn.SINGLE(tbl_pros[RowId]))</f>
        <v>1</v>
      </c>
    </row>
    <row r="404" spans="10:44">
      <c r="J404" s="4">
        <v>394</v>
      </c>
      <c r="K404" s="20" t="s">
        <v>48</v>
      </c>
      <c r="L404" s="2" t="s">
        <v>870</v>
      </c>
      <c r="M404" s="4">
        <v>1</v>
      </c>
      <c r="N404" s="4" t="s">
        <v>871</v>
      </c>
      <c r="O404" s="21" t="str">
        <f t="shared" si="4"/>
        <v>20 AMAZING Art Workspace Hacks (FREE or cheap!)</v>
      </c>
      <c r="P404" s="11" t="s">
        <v>175</v>
      </c>
      <c r="AR404" s="11">
        <f>SUBTOTAL(3,_xlfn.SINGLE(tbl_pros[RowId]))</f>
        <v>1</v>
      </c>
    </row>
    <row r="405" spans="10:44">
      <c r="J405" s="4">
        <v>395</v>
      </c>
      <c r="K405" s="20" t="s">
        <v>48</v>
      </c>
      <c r="L405" s="2" t="s">
        <v>872</v>
      </c>
      <c r="M405" s="4">
        <v>1</v>
      </c>
      <c r="N405" s="4" t="s">
        <v>873</v>
      </c>
      <c r="O405" s="21" t="str">
        <f t="shared" ref="O405:O422" si="5">HYPERLINK("obsidian://open?vault=o2&amp;file=22%20FREE%20Windows%20Utilities%20EVERY%20User%20MUST%20Know%20About%21.md","22 FREE Windows Utilities EVERY User MUST Know About!")</f>
        <v>22 FREE Windows Utilities EVERY User MUST Know About!</v>
      </c>
      <c r="P405" s="11" t="s">
        <v>175</v>
      </c>
      <c r="AR405" s="11">
        <f>SUBTOTAL(3,_xlfn.SINGLE(tbl_pros[RowId]))</f>
        <v>1</v>
      </c>
    </row>
    <row r="406" spans="10:44">
      <c r="J406" s="4">
        <v>396</v>
      </c>
      <c r="K406" s="20" t="s">
        <v>48</v>
      </c>
      <c r="L406" s="2" t="s">
        <v>874</v>
      </c>
      <c r="M406" s="4">
        <v>1</v>
      </c>
      <c r="N406" s="4" t="s">
        <v>875</v>
      </c>
      <c r="O406" s="21" t="str">
        <f t="shared" si="5"/>
        <v>22 FREE Windows Utilities EVERY User MUST Know About!</v>
      </c>
      <c r="P406" s="11" t="s">
        <v>175</v>
      </c>
      <c r="AR406" s="11">
        <f>SUBTOTAL(3,_xlfn.SINGLE(tbl_pros[RowId]))</f>
        <v>1</v>
      </c>
    </row>
    <row r="407" spans="10:44">
      <c r="J407" s="4">
        <v>397</v>
      </c>
      <c r="K407" s="20" t="s">
        <v>48</v>
      </c>
      <c r="L407" s="2" t="s">
        <v>876</v>
      </c>
      <c r="M407" s="4">
        <v>1</v>
      </c>
      <c r="N407" s="4" t="s">
        <v>877</v>
      </c>
      <c r="O407" s="21" t="str">
        <f t="shared" si="5"/>
        <v>22 FREE Windows Utilities EVERY User MUST Know About!</v>
      </c>
      <c r="P407" s="11" t="s">
        <v>175</v>
      </c>
      <c r="AR407" s="11">
        <f>SUBTOTAL(3,_xlfn.SINGLE(tbl_pros[RowId]))</f>
        <v>1</v>
      </c>
    </row>
    <row r="408" spans="10:44">
      <c r="J408" s="4">
        <v>398</v>
      </c>
      <c r="K408" s="20" t="s">
        <v>48</v>
      </c>
      <c r="L408" s="2" t="s">
        <v>878</v>
      </c>
      <c r="M408" s="4">
        <v>1</v>
      </c>
      <c r="N408" s="4" t="s">
        <v>879</v>
      </c>
      <c r="O408" s="21" t="str">
        <f t="shared" si="5"/>
        <v>22 FREE Windows Utilities EVERY User MUST Know About!</v>
      </c>
      <c r="P408" s="11" t="s">
        <v>175</v>
      </c>
      <c r="AR408" s="11">
        <f>SUBTOTAL(3,_xlfn.SINGLE(tbl_pros[RowId]))</f>
        <v>1</v>
      </c>
    </row>
    <row r="409" spans="10:44">
      <c r="J409" s="4">
        <v>399</v>
      </c>
      <c r="K409" s="20" t="s">
        <v>48</v>
      </c>
      <c r="L409" s="2" t="s">
        <v>880</v>
      </c>
      <c r="M409" s="4">
        <v>2</v>
      </c>
      <c r="N409" s="4" t="s">
        <v>881</v>
      </c>
      <c r="O409" s="21" t="str">
        <f t="shared" si="5"/>
        <v>22 FREE Windows Utilities EVERY User MUST Know About!</v>
      </c>
      <c r="P409" s="11" t="s">
        <v>175</v>
      </c>
      <c r="Q409" s="21" t="str">
        <f>HYPERLINK("obsidian://open?vault=o2&amp;file=I%20Made%20an%20App%20that%20KEEPS%20Windows%2011%20Debloated%20%26%20Optimized.md","I Made an App that KEEPS Windows 11 Debloated &amp; Optimized")</f>
        <v>I Made an App that KEEPS Windows 11 Debloated &amp; Optimized</v>
      </c>
      <c r="R409" s="11" t="s">
        <v>175</v>
      </c>
      <c r="AR409" s="11">
        <f>SUBTOTAL(3,_xlfn.SINGLE(tbl_pros[RowId]))</f>
        <v>1</v>
      </c>
    </row>
    <row r="410" spans="10:44">
      <c r="J410" s="4">
        <v>400</v>
      </c>
      <c r="K410" s="20" t="s">
        <v>48</v>
      </c>
      <c r="L410" s="2" t="s">
        <v>882</v>
      </c>
      <c r="M410" s="4">
        <v>2</v>
      </c>
      <c r="N410" s="4" t="s">
        <v>883</v>
      </c>
      <c r="O410" s="21" t="str">
        <f t="shared" si="5"/>
        <v>22 FREE Windows Utilities EVERY User MUST Know About!</v>
      </c>
      <c r="P410" s="11" t="s">
        <v>175</v>
      </c>
      <c r="Q410" s="21" t="str">
        <f>HYPERLINK("obsidian://open?vault=o2&amp;file=I%20Made%20an%20App%20that%20KEEPS%20Windows%2011%20Debloated%20%26%20Optimized.md","I Made an App that KEEPS Windows 11 Debloated &amp; Optimized")</f>
        <v>I Made an App that KEEPS Windows 11 Debloated &amp; Optimized</v>
      </c>
      <c r="R410" s="11" t="s">
        <v>175</v>
      </c>
      <c r="AR410" s="11">
        <f>SUBTOTAL(3,_xlfn.SINGLE(tbl_pros[RowId]))</f>
        <v>1</v>
      </c>
    </row>
    <row r="411" spans="10:44">
      <c r="J411" s="4">
        <v>401</v>
      </c>
      <c r="K411" s="20" t="s">
        <v>48</v>
      </c>
      <c r="L411" s="2" t="s">
        <v>884</v>
      </c>
      <c r="M411" s="4">
        <v>1</v>
      </c>
      <c r="N411" s="4" t="s">
        <v>885</v>
      </c>
      <c r="O411" s="21" t="str">
        <f t="shared" si="5"/>
        <v>22 FREE Windows Utilities EVERY User MUST Know About!</v>
      </c>
      <c r="P411" s="11" t="s">
        <v>175</v>
      </c>
      <c r="AR411" s="11">
        <f>SUBTOTAL(3,_xlfn.SINGLE(tbl_pros[RowId]))</f>
        <v>1</v>
      </c>
    </row>
    <row r="412" spans="10:44">
      <c r="J412" s="4">
        <v>402</v>
      </c>
      <c r="K412" s="20" t="s">
        <v>48</v>
      </c>
      <c r="L412" s="2" t="s">
        <v>886</v>
      </c>
      <c r="M412" s="4">
        <v>1</v>
      </c>
      <c r="N412" s="4" t="s">
        <v>887</v>
      </c>
      <c r="O412" s="21" t="str">
        <f t="shared" si="5"/>
        <v>22 FREE Windows Utilities EVERY User MUST Know About!</v>
      </c>
      <c r="P412" s="11" t="s">
        <v>175</v>
      </c>
      <c r="AR412" s="11">
        <f>SUBTOTAL(3,_xlfn.SINGLE(tbl_pros[RowId]))</f>
        <v>1</v>
      </c>
    </row>
    <row r="413" spans="10:44">
      <c r="J413" s="4">
        <v>403</v>
      </c>
      <c r="K413" s="20" t="s">
        <v>48</v>
      </c>
      <c r="L413" s="2" t="s">
        <v>888</v>
      </c>
      <c r="M413" s="4">
        <v>2</v>
      </c>
      <c r="N413" s="4" t="s">
        <v>889</v>
      </c>
      <c r="O413" s="21" t="str">
        <f t="shared" si="5"/>
        <v>22 FREE Windows Utilities EVERY User MUST Know About!</v>
      </c>
      <c r="P413" s="11" t="s">
        <v>175</v>
      </c>
      <c r="Q413" s="21" t="str">
        <f>HYPERLINK("obsidian://open?vault=o2&amp;file=I%20Made%20an%20App%20that%20KEEPS%20Windows%2011%20Debloated%20%26%20Optimized.md","I Made an App that KEEPS Windows 11 Debloated &amp; Optimized")</f>
        <v>I Made an App that KEEPS Windows 11 Debloated &amp; Optimized</v>
      </c>
      <c r="R413" s="11" t="s">
        <v>175</v>
      </c>
      <c r="AR413" s="11">
        <f>SUBTOTAL(3,_xlfn.SINGLE(tbl_pros[RowId]))</f>
        <v>1</v>
      </c>
    </row>
    <row r="414" spans="10:44">
      <c r="J414" s="4">
        <v>404</v>
      </c>
      <c r="K414" s="20" t="s">
        <v>48</v>
      </c>
      <c r="L414" s="2" t="s">
        <v>890</v>
      </c>
      <c r="M414" s="4">
        <v>1</v>
      </c>
      <c r="N414" s="4" t="s">
        <v>891</v>
      </c>
      <c r="O414" s="21" t="str">
        <f t="shared" si="5"/>
        <v>22 FREE Windows Utilities EVERY User MUST Know About!</v>
      </c>
      <c r="P414" s="11" t="s">
        <v>175</v>
      </c>
      <c r="AR414" s="11">
        <f>SUBTOTAL(3,_xlfn.SINGLE(tbl_pros[RowId]))</f>
        <v>1</v>
      </c>
    </row>
    <row r="415" spans="10:44">
      <c r="J415" s="4">
        <v>405</v>
      </c>
      <c r="K415" s="20" t="s">
        <v>48</v>
      </c>
      <c r="L415" s="2" t="s">
        <v>892</v>
      </c>
      <c r="M415" s="4">
        <v>1</v>
      </c>
      <c r="N415" s="4" t="s">
        <v>893</v>
      </c>
      <c r="O415" s="21" t="str">
        <f t="shared" si="5"/>
        <v>22 FREE Windows Utilities EVERY User MUST Know About!</v>
      </c>
      <c r="P415" s="11" t="s">
        <v>175</v>
      </c>
      <c r="AR415" s="11">
        <f>SUBTOTAL(3,_xlfn.SINGLE(tbl_pros[RowId]))</f>
        <v>1</v>
      </c>
    </row>
    <row r="416" spans="10:44">
      <c r="J416" s="4">
        <v>406</v>
      </c>
      <c r="K416" s="20" t="s">
        <v>48</v>
      </c>
      <c r="L416" s="2" t="s">
        <v>894</v>
      </c>
      <c r="M416" s="4">
        <v>1</v>
      </c>
      <c r="N416" s="4" t="s">
        <v>895</v>
      </c>
      <c r="O416" s="21" t="str">
        <f t="shared" si="5"/>
        <v>22 FREE Windows Utilities EVERY User MUST Know About!</v>
      </c>
      <c r="P416" s="11" t="s">
        <v>175</v>
      </c>
      <c r="AR416" s="11">
        <f>SUBTOTAL(3,_xlfn.SINGLE(tbl_pros[RowId]))</f>
        <v>1</v>
      </c>
    </row>
    <row r="417" spans="10:44">
      <c r="J417" s="4">
        <v>407</v>
      </c>
      <c r="K417" s="20" t="s">
        <v>48</v>
      </c>
      <c r="L417" s="2" t="s">
        <v>896</v>
      </c>
      <c r="M417" s="4">
        <v>1</v>
      </c>
      <c r="N417" s="4" t="s">
        <v>897</v>
      </c>
      <c r="O417" s="21" t="str">
        <f t="shared" si="5"/>
        <v>22 FREE Windows Utilities EVERY User MUST Know About!</v>
      </c>
      <c r="P417" s="11" t="s">
        <v>175</v>
      </c>
      <c r="AR417" s="11">
        <f>SUBTOTAL(3,_xlfn.SINGLE(tbl_pros[RowId]))</f>
        <v>1</v>
      </c>
    </row>
    <row r="418" spans="10:44">
      <c r="J418" s="4">
        <v>408</v>
      </c>
      <c r="K418" s="20" t="s">
        <v>48</v>
      </c>
      <c r="L418" s="2" t="s">
        <v>898</v>
      </c>
      <c r="M418" s="4">
        <v>1</v>
      </c>
      <c r="N418" s="4" t="s">
        <v>899</v>
      </c>
      <c r="O418" s="21" t="str">
        <f t="shared" si="5"/>
        <v>22 FREE Windows Utilities EVERY User MUST Know About!</v>
      </c>
      <c r="P418" s="11" t="s">
        <v>175</v>
      </c>
      <c r="AR418" s="11">
        <f>SUBTOTAL(3,_xlfn.SINGLE(tbl_pros[RowId]))</f>
        <v>1</v>
      </c>
    </row>
    <row r="419" spans="10:44">
      <c r="J419" s="4">
        <v>409</v>
      </c>
      <c r="K419" s="20" t="s">
        <v>48</v>
      </c>
      <c r="L419" s="2" t="s">
        <v>900</v>
      </c>
      <c r="M419" s="4">
        <v>1</v>
      </c>
      <c r="N419" s="4" t="s">
        <v>901</v>
      </c>
      <c r="O419" s="21" t="str">
        <f t="shared" si="5"/>
        <v>22 FREE Windows Utilities EVERY User MUST Know About!</v>
      </c>
      <c r="P419" s="11" t="s">
        <v>175</v>
      </c>
      <c r="AR419" s="11">
        <f>SUBTOTAL(3,_xlfn.SINGLE(tbl_pros[RowId]))</f>
        <v>1</v>
      </c>
    </row>
    <row r="420" spans="10:44">
      <c r="J420" s="4">
        <v>410</v>
      </c>
      <c r="K420" s="20" t="s">
        <v>48</v>
      </c>
      <c r="L420" s="2" t="s">
        <v>902</v>
      </c>
      <c r="M420" s="4">
        <v>1</v>
      </c>
      <c r="N420" s="4" t="s">
        <v>903</v>
      </c>
      <c r="O420" s="21" t="str">
        <f t="shared" si="5"/>
        <v>22 FREE Windows Utilities EVERY User MUST Know About!</v>
      </c>
      <c r="P420" s="11" t="s">
        <v>175</v>
      </c>
      <c r="AR420" s="11">
        <f>SUBTOTAL(3,_xlfn.SINGLE(tbl_pros[RowId]))</f>
        <v>1</v>
      </c>
    </row>
    <row r="421" spans="10:44">
      <c r="J421" s="4">
        <v>411</v>
      </c>
      <c r="K421" s="20" t="s">
        <v>48</v>
      </c>
      <c r="L421" s="2" t="s">
        <v>904</v>
      </c>
      <c r="M421" s="4">
        <v>1</v>
      </c>
      <c r="N421" s="4" t="s">
        <v>905</v>
      </c>
      <c r="O421" s="21" t="str">
        <f t="shared" si="5"/>
        <v>22 FREE Windows Utilities EVERY User MUST Know About!</v>
      </c>
      <c r="P421" s="11" t="s">
        <v>175</v>
      </c>
      <c r="AR421" s="11">
        <f>SUBTOTAL(3,_xlfn.SINGLE(tbl_pros[RowId]))</f>
        <v>1</v>
      </c>
    </row>
    <row r="422" spans="10:44">
      <c r="J422" s="4">
        <v>412</v>
      </c>
      <c r="K422" s="20" t="s">
        <v>48</v>
      </c>
      <c r="L422" s="2" t="s">
        <v>906</v>
      </c>
      <c r="M422" s="4">
        <v>1</v>
      </c>
      <c r="N422" s="4" t="s">
        <v>907</v>
      </c>
      <c r="O422" s="21" t="str">
        <f t="shared" si="5"/>
        <v>22 FREE Windows Utilities EVERY User MUST Know About!</v>
      </c>
      <c r="P422" s="11" t="s">
        <v>175</v>
      </c>
      <c r="AR422" s="11">
        <f>SUBTOTAL(3,_xlfn.SINGLE(tbl_pros[RowId]))</f>
        <v>1</v>
      </c>
    </row>
    <row r="423" spans="10:44">
      <c r="J423" s="4">
        <v>413</v>
      </c>
      <c r="K423" s="20" t="s">
        <v>48</v>
      </c>
      <c r="L423" s="2" t="s">
        <v>908</v>
      </c>
      <c r="M423" s="4">
        <v>1</v>
      </c>
      <c r="N423" s="4" t="s">
        <v>909</v>
      </c>
      <c r="O423" s="21" t="str">
        <f t="shared" ref="O423:O450" si="6">HYPERLINK("obsidian://open?vault=o2&amp;file=8%20Easy%20Food%20Plating%20Hacks%20That%20Will%20Blow%20You%20Away.md","8 Easy Food Plating Hacks That Will Blow You Away")</f>
        <v>8 Easy Food Plating Hacks That Will Blow You Away</v>
      </c>
      <c r="P423" s="11" t="s">
        <v>175</v>
      </c>
      <c r="AR423" s="11">
        <f>SUBTOTAL(3,_xlfn.SINGLE(tbl_pros[RowId]))</f>
        <v>1</v>
      </c>
    </row>
    <row r="424" spans="10:44">
      <c r="J424" s="4">
        <v>414</v>
      </c>
      <c r="K424" s="20" t="s">
        <v>48</v>
      </c>
      <c r="L424" s="2" t="s">
        <v>910</v>
      </c>
      <c r="M424" s="4">
        <v>1</v>
      </c>
      <c r="N424" s="4" t="s">
        <v>911</v>
      </c>
      <c r="O424" s="21" t="str">
        <f t="shared" si="6"/>
        <v>8 Easy Food Plating Hacks That Will Blow You Away</v>
      </c>
      <c r="P424" s="11" t="s">
        <v>175</v>
      </c>
      <c r="AR424" s="11">
        <f>SUBTOTAL(3,_xlfn.SINGLE(tbl_pros[RowId]))</f>
        <v>1</v>
      </c>
    </row>
    <row r="425" spans="10:44">
      <c r="J425" s="4">
        <v>415</v>
      </c>
      <c r="K425" s="20" t="s">
        <v>48</v>
      </c>
      <c r="L425" s="2" t="s">
        <v>912</v>
      </c>
      <c r="M425" s="4">
        <v>3</v>
      </c>
      <c r="N425" s="4" t="s">
        <v>913</v>
      </c>
      <c r="O425" s="21" t="str">
        <f t="shared" si="6"/>
        <v>8 Easy Food Plating Hacks That Will Blow You Away</v>
      </c>
      <c r="P425" s="11" t="s">
        <v>175</v>
      </c>
      <c r="Q425" s="21" t="str">
        <f>HYPERLINK("obsidian://open?vault=o2&amp;file=Better%20Than%20Grandmas%20Dinner%21%20My%20Parents%20Were%20Stunned%20After%20Trying%20It%21%21%21.md","Better Than Grandmas Dinner! My Parents Were Stunned After Trying It!!!")</f>
        <v>Better Than Grandmas Dinner! My Parents Were Stunned After Trying It!!!</v>
      </c>
      <c r="R425" s="11" t="s">
        <v>175</v>
      </c>
      <c r="S425"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T425" s="11" t="s">
        <v>175</v>
      </c>
      <c r="AR425" s="11">
        <f>SUBTOTAL(3,_xlfn.SINGLE(tbl_pros[RowId]))</f>
        <v>1</v>
      </c>
    </row>
    <row r="426" spans="10:44">
      <c r="J426" s="4">
        <v>416</v>
      </c>
      <c r="K426" s="20" t="s">
        <v>48</v>
      </c>
      <c r="L426" s="2" t="s">
        <v>914</v>
      </c>
      <c r="M426" s="4">
        <v>1</v>
      </c>
      <c r="N426" s="4" t="s">
        <v>915</v>
      </c>
      <c r="O426" s="21" t="str">
        <f t="shared" si="6"/>
        <v>8 Easy Food Plating Hacks That Will Blow You Away</v>
      </c>
      <c r="P426" s="11" t="s">
        <v>175</v>
      </c>
      <c r="AR426" s="11">
        <f>SUBTOTAL(3,_xlfn.SINGLE(tbl_pros[RowId]))</f>
        <v>1</v>
      </c>
    </row>
    <row r="427" spans="10:44">
      <c r="J427" s="4">
        <v>417</v>
      </c>
      <c r="K427" s="20" t="s">
        <v>48</v>
      </c>
      <c r="L427" s="2" t="s">
        <v>916</v>
      </c>
      <c r="M427" s="4">
        <v>1</v>
      </c>
      <c r="N427" s="4" t="s">
        <v>917</v>
      </c>
      <c r="O427" s="21" t="str">
        <f t="shared" si="6"/>
        <v>8 Easy Food Plating Hacks That Will Blow You Away</v>
      </c>
      <c r="P427" s="11" t="s">
        <v>175</v>
      </c>
      <c r="AR427" s="11">
        <f>SUBTOTAL(3,_xlfn.SINGLE(tbl_pros[RowId]))</f>
        <v>1</v>
      </c>
    </row>
    <row r="428" spans="10:44">
      <c r="J428" s="4">
        <v>418</v>
      </c>
      <c r="K428" s="20" t="s">
        <v>48</v>
      </c>
      <c r="L428" s="2" t="s">
        <v>918</v>
      </c>
      <c r="M428" s="4">
        <v>1</v>
      </c>
      <c r="N428" s="4" t="s">
        <v>919</v>
      </c>
      <c r="O428" s="21" t="str">
        <f t="shared" si="6"/>
        <v>8 Easy Food Plating Hacks That Will Blow You Away</v>
      </c>
      <c r="P428" s="11" t="s">
        <v>175</v>
      </c>
      <c r="AR428" s="11">
        <f>SUBTOTAL(3,_xlfn.SINGLE(tbl_pros[RowId]))</f>
        <v>1</v>
      </c>
    </row>
    <row r="429" spans="10:44">
      <c r="J429" s="4">
        <v>419</v>
      </c>
      <c r="K429" s="20" t="s">
        <v>48</v>
      </c>
      <c r="L429" s="2" t="s">
        <v>920</v>
      </c>
      <c r="M429" s="4">
        <v>1</v>
      </c>
      <c r="N429" s="4" t="s">
        <v>921</v>
      </c>
      <c r="O429" s="21" t="str">
        <f t="shared" si="6"/>
        <v>8 Easy Food Plating Hacks That Will Blow You Away</v>
      </c>
      <c r="P429" s="11" t="s">
        <v>175</v>
      </c>
      <c r="AR429" s="11">
        <f>SUBTOTAL(3,_xlfn.SINGLE(tbl_pros[RowId]))</f>
        <v>1</v>
      </c>
    </row>
    <row r="430" spans="10:44">
      <c r="J430" s="4">
        <v>420</v>
      </c>
      <c r="K430" s="20" t="s">
        <v>48</v>
      </c>
      <c r="L430" s="2" t="s">
        <v>922</v>
      </c>
      <c r="M430" s="4">
        <v>1</v>
      </c>
      <c r="N430" s="4" t="s">
        <v>923</v>
      </c>
      <c r="O430" s="21" t="str">
        <f t="shared" si="6"/>
        <v>8 Easy Food Plating Hacks That Will Blow You Away</v>
      </c>
      <c r="P430" s="11" t="s">
        <v>175</v>
      </c>
      <c r="AR430" s="11">
        <f>SUBTOTAL(3,_xlfn.SINGLE(tbl_pros[RowId]))</f>
        <v>1</v>
      </c>
    </row>
    <row r="431" spans="10:44">
      <c r="J431" s="4">
        <v>421</v>
      </c>
      <c r="K431" s="20" t="s">
        <v>48</v>
      </c>
      <c r="L431" s="2" t="s">
        <v>924</v>
      </c>
      <c r="M431" s="4">
        <v>1</v>
      </c>
      <c r="N431" s="4" t="s">
        <v>925</v>
      </c>
      <c r="O431" s="21" t="str">
        <f t="shared" si="6"/>
        <v>8 Easy Food Plating Hacks That Will Blow You Away</v>
      </c>
      <c r="P431" s="11" t="s">
        <v>175</v>
      </c>
      <c r="AR431" s="11">
        <f>SUBTOTAL(3,_xlfn.SINGLE(tbl_pros[RowId]))</f>
        <v>1</v>
      </c>
    </row>
    <row r="432" spans="10:44">
      <c r="J432" s="4">
        <v>422</v>
      </c>
      <c r="K432" s="20" t="s">
        <v>48</v>
      </c>
      <c r="L432" s="2" t="s">
        <v>926</v>
      </c>
      <c r="M432" s="4">
        <v>1</v>
      </c>
      <c r="N432" s="4" t="s">
        <v>927</v>
      </c>
      <c r="O432" s="21" t="str">
        <f t="shared" si="6"/>
        <v>8 Easy Food Plating Hacks That Will Blow You Away</v>
      </c>
      <c r="P432" s="11" t="s">
        <v>175</v>
      </c>
      <c r="AR432" s="11">
        <f>SUBTOTAL(3,_xlfn.SINGLE(tbl_pros[RowId]))</f>
        <v>1</v>
      </c>
    </row>
    <row r="433" spans="10:44">
      <c r="J433" s="4">
        <v>423</v>
      </c>
      <c r="K433" s="20" t="s">
        <v>48</v>
      </c>
      <c r="L433" s="2" t="s">
        <v>928</v>
      </c>
      <c r="M433" s="4">
        <v>1</v>
      </c>
      <c r="N433" s="4" t="s">
        <v>929</v>
      </c>
      <c r="O433" s="21" t="str">
        <f t="shared" si="6"/>
        <v>8 Easy Food Plating Hacks That Will Blow You Away</v>
      </c>
      <c r="P433" s="11" t="s">
        <v>175</v>
      </c>
      <c r="AR433" s="11">
        <f>SUBTOTAL(3,_xlfn.SINGLE(tbl_pros[RowId]))</f>
        <v>1</v>
      </c>
    </row>
    <row r="434" spans="10:44">
      <c r="J434" s="4">
        <v>424</v>
      </c>
      <c r="K434" s="20" t="s">
        <v>48</v>
      </c>
      <c r="L434" s="2" t="s">
        <v>930</v>
      </c>
      <c r="M434" s="4">
        <v>1</v>
      </c>
      <c r="N434" s="4" t="s">
        <v>931</v>
      </c>
      <c r="O434" s="21" t="str">
        <f t="shared" si="6"/>
        <v>8 Easy Food Plating Hacks That Will Blow You Away</v>
      </c>
      <c r="P434" s="11" t="s">
        <v>175</v>
      </c>
      <c r="AR434" s="11">
        <f>SUBTOTAL(3,_xlfn.SINGLE(tbl_pros[RowId]))</f>
        <v>1</v>
      </c>
    </row>
    <row r="435" spans="10:44">
      <c r="J435" s="4">
        <v>425</v>
      </c>
      <c r="K435" s="20" t="s">
        <v>48</v>
      </c>
      <c r="L435" s="2" t="s">
        <v>932</v>
      </c>
      <c r="M435" s="4">
        <v>1</v>
      </c>
      <c r="N435" s="4" t="s">
        <v>933</v>
      </c>
      <c r="O435" s="21" t="str">
        <f t="shared" si="6"/>
        <v>8 Easy Food Plating Hacks That Will Blow You Away</v>
      </c>
      <c r="P435" s="11" t="s">
        <v>175</v>
      </c>
      <c r="AR435" s="11">
        <f>SUBTOTAL(3,_xlfn.SINGLE(tbl_pros[RowId]))</f>
        <v>1</v>
      </c>
    </row>
    <row r="436" spans="10:44">
      <c r="J436" s="4">
        <v>426</v>
      </c>
      <c r="K436" s="20" t="s">
        <v>48</v>
      </c>
      <c r="L436" s="2" t="s">
        <v>934</v>
      </c>
      <c r="M436" s="4">
        <v>1</v>
      </c>
      <c r="N436" s="4" t="s">
        <v>935</v>
      </c>
      <c r="O436" s="21" t="str">
        <f t="shared" si="6"/>
        <v>8 Easy Food Plating Hacks That Will Blow You Away</v>
      </c>
      <c r="P436" s="11" t="s">
        <v>175</v>
      </c>
      <c r="AR436" s="11">
        <f>SUBTOTAL(3,_xlfn.SINGLE(tbl_pros[RowId]))</f>
        <v>1</v>
      </c>
    </row>
    <row r="437" spans="10:44">
      <c r="J437" s="4">
        <v>427</v>
      </c>
      <c r="K437" s="20" t="s">
        <v>48</v>
      </c>
      <c r="L437" s="2" t="s">
        <v>936</v>
      </c>
      <c r="M437" s="4">
        <v>1</v>
      </c>
      <c r="N437" s="4" t="s">
        <v>937</v>
      </c>
      <c r="O437" s="21" t="str">
        <f t="shared" si="6"/>
        <v>8 Easy Food Plating Hacks That Will Blow You Away</v>
      </c>
      <c r="P437" s="11" t="s">
        <v>175</v>
      </c>
      <c r="AR437" s="11">
        <f>SUBTOTAL(3,_xlfn.SINGLE(tbl_pros[RowId]))</f>
        <v>1</v>
      </c>
    </row>
    <row r="438" spans="10:44">
      <c r="J438" s="4">
        <v>428</v>
      </c>
      <c r="K438" s="20" t="s">
        <v>48</v>
      </c>
      <c r="L438" s="2" t="s">
        <v>938</v>
      </c>
      <c r="M438" s="4">
        <v>1</v>
      </c>
      <c r="N438" s="4" t="s">
        <v>939</v>
      </c>
      <c r="O438" s="21" t="str">
        <f t="shared" si="6"/>
        <v>8 Easy Food Plating Hacks That Will Blow You Away</v>
      </c>
      <c r="P438" s="11" t="s">
        <v>175</v>
      </c>
      <c r="AR438" s="11">
        <f>SUBTOTAL(3,_xlfn.SINGLE(tbl_pros[RowId]))</f>
        <v>1</v>
      </c>
    </row>
    <row r="439" spans="10:44">
      <c r="J439" s="4">
        <v>429</v>
      </c>
      <c r="K439" s="20" t="s">
        <v>48</v>
      </c>
      <c r="L439" s="2" t="s">
        <v>940</v>
      </c>
      <c r="M439" s="4">
        <v>1</v>
      </c>
      <c r="N439" s="4" t="s">
        <v>941</v>
      </c>
      <c r="O439" s="21" t="str">
        <f t="shared" si="6"/>
        <v>8 Easy Food Plating Hacks That Will Blow You Away</v>
      </c>
      <c r="P439" s="11" t="s">
        <v>175</v>
      </c>
      <c r="AR439" s="11">
        <f>SUBTOTAL(3,_xlfn.SINGLE(tbl_pros[RowId]))</f>
        <v>1</v>
      </c>
    </row>
    <row r="440" spans="10:44">
      <c r="J440" s="4">
        <v>430</v>
      </c>
      <c r="K440" s="20" t="s">
        <v>48</v>
      </c>
      <c r="L440" s="2" t="s">
        <v>942</v>
      </c>
      <c r="M440" s="4">
        <v>2</v>
      </c>
      <c r="N440" s="4" t="s">
        <v>943</v>
      </c>
      <c r="O440" s="21" t="str">
        <f t="shared" si="6"/>
        <v>8 Easy Food Plating Hacks That Will Blow You Away</v>
      </c>
      <c r="P440" s="11" t="s">
        <v>175</v>
      </c>
      <c r="Q44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R440" s="11" t="s">
        <v>175</v>
      </c>
      <c r="AR440" s="11">
        <f>SUBTOTAL(3,_xlfn.SINGLE(tbl_pros[RowId]))</f>
        <v>1</v>
      </c>
    </row>
    <row r="441" spans="10:44">
      <c r="J441" s="4">
        <v>431</v>
      </c>
      <c r="K441" s="20" t="s">
        <v>48</v>
      </c>
      <c r="L441" s="2" t="s">
        <v>944</v>
      </c>
      <c r="M441" s="4">
        <v>1</v>
      </c>
      <c r="N441" s="4" t="s">
        <v>945</v>
      </c>
      <c r="O441" s="21" t="str">
        <f t="shared" si="6"/>
        <v>8 Easy Food Plating Hacks That Will Blow You Away</v>
      </c>
      <c r="P441" s="11" t="s">
        <v>175</v>
      </c>
      <c r="AR441" s="11">
        <f>SUBTOTAL(3,_xlfn.SINGLE(tbl_pros[RowId]))</f>
        <v>1</v>
      </c>
    </row>
    <row r="442" spans="10:44">
      <c r="J442" s="4">
        <v>432</v>
      </c>
      <c r="K442" s="20" t="s">
        <v>48</v>
      </c>
      <c r="L442" s="2" t="s">
        <v>946</v>
      </c>
      <c r="M442" s="4">
        <v>1</v>
      </c>
      <c r="N442" s="4" t="s">
        <v>947</v>
      </c>
      <c r="O442" s="21" t="str">
        <f t="shared" si="6"/>
        <v>8 Easy Food Plating Hacks That Will Blow You Away</v>
      </c>
      <c r="P442" s="11" t="s">
        <v>175</v>
      </c>
      <c r="AR442" s="11">
        <f>SUBTOTAL(3,_xlfn.SINGLE(tbl_pros[RowId]))</f>
        <v>1</v>
      </c>
    </row>
    <row r="443" spans="10:44">
      <c r="J443" s="4">
        <v>433</v>
      </c>
      <c r="K443" s="20" t="s">
        <v>48</v>
      </c>
      <c r="L443" s="2" t="s">
        <v>948</v>
      </c>
      <c r="M443" s="4">
        <v>1</v>
      </c>
      <c r="N443" s="4" t="s">
        <v>949</v>
      </c>
      <c r="O443" s="21" t="str">
        <f t="shared" si="6"/>
        <v>8 Easy Food Plating Hacks That Will Blow You Away</v>
      </c>
      <c r="P443" s="11" t="s">
        <v>175</v>
      </c>
      <c r="AR443" s="11">
        <f>SUBTOTAL(3,_xlfn.SINGLE(tbl_pros[RowId]))</f>
        <v>1</v>
      </c>
    </row>
    <row r="444" spans="10:44">
      <c r="J444" s="4">
        <v>434</v>
      </c>
      <c r="K444" s="20" t="s">
        <v>48</v>
      </c>
      <c r="L444" s="2" t="s">
        <v>950</v>
      </c>
      <c r="M444" s="4">
        <v>2</v>
      </c>
      <c r="N444" s="4" t="s">
        <v>951</v>
      </c>
      <c r="O444" s="21" t="str">
        <f t="shared" si="6"/>
        <v>8 Easy Food Plating Hacks That Will Blow You Away</v>
      </c>
      <c r="P444" s="11" t="s">
        <v>175</v>
      </c>
      <c r="Q444" s="21" t="str">
        <f>HYPERLINK("obsidian://open?vault=o2&amp;file=Better%20Than%20Grandmas%20Dinner%21%20My%20Parents%20Were%20Stunned%20After%20Trying%20It%21%21%21.md","Better Than Grandmas Dinner! My Parents Were Stunned After Trying It!!!")</f>
        <v>Better Than Grandmas Dinner! My Parents Were Stunned After Trying It!!!</v>
      </c>
      <c r="R444" s="11" t="s">
        <v>175</v>
      </c>
      <c r="AR444" s="11">
        <f>SUBTOTAL(3,_xlfn.SINGLE(tbl_pros[RowId]))</f>
        <v>1</v>
      </c>
    </row>
    <row r="445" spans="10:44">
      <c r="J445" s="4">
        <v>435</v>
      </c>
      <c r="K445" s="20" t="s">
        <v>48</v>
      </c>
      <c r="L445" s="2" t="s">
        <v>952</v>
      </c>
      <c r="M445" s="4">
        <v>1</v>
      </c>
      <c r="N445" s="4" t="s">
        <v>953</v>
      </c>
      <c r="O445" s="21" t="str">
        <f t="shared" si="6"/>
        <v>8 Easy Food Plating Hacks That Will Blow You Away</v>
      </c>
      <c r="P445" s="11" t="s">
        <v>175</v>
      </c>
      <c r="AR445" s="11">
        <f>SUBTOTAL(3,_xlfn.SINGLE(tbl_pros[RowId]))</f>
        <v>1</v>
      </c>
    </row>
    <row r="446" spans="10:44">
      <c r="J446" s="4">
        <v>436</v>
      </c>
      <c r="K446" s="20" t="s">
        <v>48</v>
      </c>
      <c r="L446" s="2" t="s">
        <v>954</v>
      </c>
      <c r="M446" s="4">
        <v>1</v>
      </c>
      <c r="N446" s="4" t="s">
        <v>955</v>
      </c>
      <c r="O446" s="21" t="str">
        <f t="shared" si="6"/>
        <v>8 Easy Food Plating Hacks That Will Blow You Away</v>
      </c>
      <c r="P446" s="11" t="s">
        <v>175</v>
      </c>
      <c r="AR446" s="11">
        <f>SUBTOTAL(3,_xlfn.SINGLE(tbl_pros[RowId]))</f>
        <v>1</v>
      </c>
    </row>
    <row r="447" spans="10:44">
      <c r="J447" s="4">
        <v>437</v>
      </c>
      <c r="K447" s="20" t="s">
        <v>48</v>
      </c>
      <c r="L447" s="2" t="s">
        <v>956</v>
      </c>
      <c r="M447" s="4">
        <v>1</v>
      </c>
      <c r="N447" s="4" t="s">
        <v>957</v>
      </c>
      <c r="O447" s="21" t="str">
        <f t="shared" si="6"/>
        <v>8 Easy Food Plating Hacks That Will Blow You Away</v>
      </c>
      <c r="P447" s="11" t="s">
        <v>175</v>
      </c>
      <c r="AR447" s="11">
        <f>SUBTOTAL(3,_xlfn.SINGLE(tbl_pros[RowId]))</f>
        <v>1</v>
      </c>
    </row>
    <row r="448" spans="10:44">
      <c r="J448" s="4">
        <v>438</v>
      </c>
      <c r="K448" s="20" t="s">
        <v>48</v>
      </c>
      <c r="L448" s="2" t="s">
        <v>958</v>
      </c>
      <c r="M448" s="4">
        <v>1</v>
      </c>
      <c r="N448" s="4" t="s">
        <v>959</v>
      </c>
      <c r="O448" s="21" t="str">
        <f t="shared" si="6"/>
        <v>8 Easy Food Plating Hacks That Will Blow You Away</v>
      </c>
      <c r="P448" s="11" t="s">
        <v>175</v>
      </c>
      <c r="AR448" s="11">
        <f>SUBTOTAL(3,_xlfn.SINGLE(tbl_pros[RowId]))</f>
        <v>1</v>
      </c>
    </row>
    <row r="449" spans="10:44">
      <c r="J449" s="4">
        <v>439</v>
      </c>
      <c r="K449" s="20" t="s">
        <v>48</v>
      </c>
      <c r="L449" s="2" t="s">
        <v>960</v>
      </c>
      <c r="M449" s="4">
        <v>1</v>
      </c>
      <c r="N449" s="4" t="s">
        <v>961</v>
      </c>
      <c r="O449" s="21" t="str">
        <f t="shared" si="6"/>
        <v>8 Easy Food Plating Hacks That Will Blow You Away</v>
      </c>
      <c r="P449" s="11" t="s">
        <v>175</v>
      </c>
      <c r="AR449" s="11">
        <f>SUBTOTAL(3,_xlfn.SINGLE(tbl_pros[RowId]))</f>
        <v>1</v>
      </c>
    </row>
    <row r="450" spans="10:44">
      <c r="J450" s="4">
        <v>440</v>
      </c>
      <c r="K450" s="20" t="s">
        <v>48</v>
      </c>
      <c r="L450" s="2" t="s">
        <v>962</v>
      </c>
      <c r="M450" s="4">
        <v>1</v>
      </c>
      <c r="N450" s="4" t="s">
        <v>963</v>
      </c>
      <c r="O450" s="21" t="str">
        <f t="shared" si="6"/>
        <v>8 Easy Food Plating Hacks That Will Blow You Away</v>
      </c>
      <c r="P450" s="11" t="s">
        <v>175</v>
      </c>
      <c r="AR450" s="11">
        <f>SUBTOTAL(3,_xlfn.SINGLE(tbl_pros[RowId]))</f>
        <v>1</v>
      </c>
    </row>
    <row r="451" spans="10:44">
      <c r="J451" s="4">
        <v>441</v>
      </c>
      <c r="K451" s="20" t="s">
        <v>48</v>
      </c>
      <c r="L451" s="2" t="s">
        <v>964</v>
      </c>
      <c r="M451" s="4">
        <v>1</v>
      </c>
      <c r="N451" s="4" t="s">
        <v>965</v>
      </c>
      <c r="O451" s="21" t="str">
        <f t="shared" ref="O451:O469" si="7">HYPERLINK("obsidian://open?vault=o2&amp;file=Better%20Than%20Grandmas%20Dinner%21%20My%20Parents%20Were%20Stunned%20After%20Trying%20It%21%21%21.md","Better Than Grandmas Dinner! My Parents Were Stunned After Trying It!!!")</f>
        <v>Better Than Grandmas Dinner! My Parents Were Stunned After Trying It!!!</v>
      </c>
      <c r="P451" s="11" t="s">
        <v>175</v>
      </c>
      <c r="AR451" s="11">
        <f>SUBTOTAL(3,_xlfn.SINGLE(tbl_pros[RowId]))</f>
        <v>1</v>
      </c>
    </row>
    <row r="452" spans="10:44">
      <c r="J452" s="4">
        <v>442</v>
      </c>
      <c r="K452" s="20" t="s">
        <v>48</v>
      </c>
      <c r="L452" s="2" t="s">
        <v>966</v>
      </c>
      <c r="M452" s="4">
        <v>1</v>
      </c>
      <c r="N452" s="4" t="s">
        <v>967</v>
      </c>
      <c r="O452" s="21" t="str">
        <f t="shared" si="7"/>
        <v>Better Than Grandmas Dinner! My Parents Were Stunned After Trying It!!!</v>
      </c>
      <c r="P452" s="11" t="s">
        <v>175</v>
      </c>
      <c r="AR452" s="11">
        <f>SUBTOTAL(3,_xlfn.SINGLE(tbl_pros[RowId]))</f>
        <v>1</v>
      </c>
    </row>
    <row r="453" spans="10:44">
      <c r="J453" s="4">
        <v>443</v>
      </c>
      <c r="K453" s="20" t="s">
        <v>48</v>
      </c>
      <c r="L453" s="2" t="s">
        <v>968</v>
      </c>
      <c r="M453" s="4">
        <v>1</v>
      </c>
      <c r="N453" s="4" t="s">
        <v>969</v>
      </c>
      <c r="O453" s="21" t="str">
        <f t="shared" si="7"/>
        <v>Better Than Grandmas Dinner! My Parents Were Stunned After Trying It!!!</v>
      </c>
      <c r="P453" s="11" t="s">
        <v>175</v>
      </c>
      <c r="AR453" s="11">
        <f>SUBTOTAL(3,_xlfn.SINGLE(tbl_pros[RowId]))</f>
        <v>1</v>
      </c>
    </row>
    <row r="454" spans="10:44">
      <c r="J454" s="4">
        <v>444</v>
      </c>
      <c r="K454" s="20" t="s">
        <v>48</v>
      </c>
      <c r="L454" s="2" t="s">
        <v>970</v>
      </c>
      <c r="M454" s="4">
        <v>1</v>
      </c>
      <c r="N454" s="4" t="s">
        <v>971</v>
      </c>
      <c r="O454" s="21" t="str">
        <f t="shared" si="7"/>
        <v>Better Than Grandmas Dinner! My Parents Were Stunned After Trying It!!!</v>
      </c>
      <c r="P454" s="11" t="s">
        <v>175</v>
      </c>
      <c r="AR454" s="11">
        <f>SUBTOTAL(3,_xlfn.SINGLE(tbl_pros[RowId]))</f>
        <v>1</v>
      </c>
    </row>
    <row r="455" spans="10:44">
      <c r="J455" s="4">
        <v>445</v>
      </c>
      <c r="K455" s="20" t="s">
        <v>48</v>
      </c>
      <c r="L455" s="2" t="s">
        <v>972</v>
      </c>
      <c r="M455" s="4">
        <v>1</v>
      </c>
      <c r="N455" s="4" t="s">
        <v>973</v>
      </c>
      <c r="O455" s="21" t="str">
        <f t="shared" si="7"/>
        <v>Better Than Grandmas Dinner! My Parents Were Stunned After Trying It!!!</v>
      </c>
      <c r="P455" s="11" t="s">
        <v>175</v>
      </c>
      <c r="AR455" s="11">
        <f>SUBTOTAL(3,_xlfn.SINGLE(tbl_pros[RowId]))</f>
        <v>1</v>
      </c>
    </row>
    <row r="456" spans="10:44">
      <c r="J456" s="4">
        <v>446</v>
      </c>
      <c r="K456" s="20" t="s">
        <v>48</v>
      </c>
      <c r="L456" s="2" t="s">
        <v>974</v>
      </c>
      <c r="M456" s="4">
        <v>1</v>
      </c>
      <c r="N456" s="4" t="s">
        <v>975</v>
      </c>
      <c r="O456" s="21" t="str">
        <f t="shared" si="7"/>
        <v>Better Than Grandmas Dinner! My Parents Were Stunned After Trying It!!!</v>
      </c>
      <c r="P456" s="11" t="s">
        <v>175</v>
      </c>
      <c r="AR456" s="11">
        <f>SUBTOTAL(3,_xlfn.SINGLE(tbl_pros[RowId]))</f>
        <v>1</v>
      </c>
    </row>
    <row r="457" spans="10:44">
      <c r="J457" s="4">
        <v>447</v>
      </c>
      <c r="K457" s="20" t="s">
        <v>48</v>
      </c>
      <c r="L457" s="2" t="s">
        <v>976</v>
      </c>
      <c r="M457" s="4">
        <v>1</v>
      </c>
      <c r="N457" s="4" t="s">
        <v>977</v>
      </c>
      <c r="O457" s="21" t="str">
        <f t="shared" si="7"/>
        <v>Better Than Grandmas Dinner! My Parents Were Stunned After Trying It!!!</v>
      </c>
      <c r="P457" s="11" t="s">
        <v>175</v>
      </c>
      <c r="AR457" s="11">
        <f>SUBTOTAL(3,_xlfn.SINGLE(tbl_pros[RowId]))</f>
        <v>1</v>
      </c>
    </row>
    <row r="458" spans="10:44">
      <c r="J458" s="4">
        <v>448</v>
      </c>
      <c r="K458" s="20" t="s">
        <v>48</v>
      </c>
      <c r="L458" s="2" t="s">
        <v>978</v>
      </c>
      <c r="M458" s="4">
        <v>1</v>
      </c>
      <c r="N458" s="4" t="s">
        <v>979</v>
      </c>
      <c r="O458" s="21" t="str">
        <f t="shared" si="7"/>
        <v>Better Than Grandmas Dinner! My Parents Were Stunned After Trying It!!!</v>
      </c>
      <c r="P458" s="11" t="s">
        <v>175</v>
      </c>
      <c r="AR458" s="11">
        <f>SUBTOTAL(3,_xlfn.SINGLE(tbl_pros[RowId]))</f>
        <v>1</v>
      </c>
    </row>
    <row r="459" spans="10:44">
      <c r="J459" s="4">
        <v>449</v>
      </c>
      <c r="K459" s="20" t="s">
        <v>48</v>
      </c>
      <c r="L459" s="2" t="s">
        <v>980</v>
      </c>
      <c r="M459" s="4">
        <v>1</v>
      </c>
      <c r="N459" s="4" t="s">
        <v>981</v>
      </c>
      <c r="O459" s="21" t="str">
        <f t="shared" si="7"/>
        <v>Better Than Grandmas Dinner! My Parents Were Stunned After Trying It!!!</v>
      </c>
      <c r="P459" s="11" t="s">
        <v>175</v>
      </c>
      <c r="AR459" s="11">
        <f>SUBTOTAL(3,_xlfn.SINGLE(tbl_pros[RowId]))</f>
        <v>1</v>
      </c>
    </row>
    <row r="460" spans="10:44">
      <c r="J460" s="4">
        <v>450</v>
      </c>
      <c r="K460" s="20" t="s">
        <v>48</v>
      </c>
      <c r="L460" s="2" t="s">
        <v>982</v>
      </c>
      <c r="M460" s="4">
        <v>2</v>
      </c>
      <c r="N460" s="4" t="s">
        <v>983</v>
      </c>
      <c r="O460" s="21" t="str">
        <f t="shared" si="7"/>
        <v>Better Than Grandmas Dinner! My Parents Were Stunned After Trying It!!!</v>
      </c>
      <c r="P460" s="11" t="s">
        <v>175</v>
      </c>
      <c r="Q46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R460" s="11" t="s">
        <v>175</v>
      </c>
      <c r="AR460" s="11">
        <f>SUBTOTAL(3,_xlfn.SINGLE(tbl_pros[RowId]))</f>
        <v>1</v>
      </c>
    </row>
    <row r="461" spans="10:44">
      <c r="J461" s="4">
        <v>451</v>
      </c>
      <c r="K461" s="20" t="s">
        <v>48</v>
      </c>
      <c r="L461" s="2" t="s">
        <v>984</v>
      </c>
      <c r="M461" s="4">
        <v>1</v>
      </c>
      <c r="N461" s="4" t="s">
        <v>985</v>
      </c>
      <c r="O461" s="21" t="str">
        <f t="shared" si="7"/>
        <v>Better Than Grandmas Dinner! My Parents Were Stunned After Trying It!!!</v>
      </c>
      <c r="P461" s="11" t="s">
        <v>175</v>
      </c>
      <c r="AR461" s="11">
        <f>SUBTOTAL(3,_xlfn.SINGLE(tbl_pros[RowId]))</f>
        <v>1</v>
      </c>
    </row>
    <row r="462" spans="10:44">
      <c r="J462" s="4">
        <v>452</v>
      </c>
      <c r="K462" s="20" t="s">
        <v>48</v>
      </c>
      <c r="L462" s="2" t="s">
        <v>986</v>
      </c>
      <c r="M462" s="4">
        <v>1</v>
      </c>
      <c r="N462" s="4" t="s">
        <v>987</v>
      </c>
      <c r="O462" s="21" t="str">
        <f t="shared" si="7"/>
        <v>Better Than Grandmas Dinner! My Parents Were Stunned After Trying It!!!</v>
      </c>
      <c r="P462" s="11" t="s">
        <v>175</v>
      </c>
      <c r="AR462" s="11">
        <f>SUBTOTAL(3,_xlfn.SINGLE(tbl_pros[RowId]))</f>
        <v>1</v>
      </c>
    </row>
    <row r="463" spans="10:44">
      <c r="J463" s="4">
        <v>453</v>
      </c>
      <c r="K463" s="20" t="s">
        <v>48</v>
      </c>
      <c r="L463" s="2" t="s">
        <v>988</v>
      </c>
      <c r="M463" s="4">
        <v>1</v>
      </c>
      <c r="N463" s="4" t="s">
        <v>989</v>
      </c>
      <c r="O463" s="21" t="str">
        <f t="shared" si="7"/>
        <v>Better Than Grandmas Dinner! My Parents Were Stunned After Trying It!!!</v>
      </c>
      <c r="P463" s="11" t="s">
        <v>175</v>
      </c>
      <c r="AR463" s="11">
        <f>SUBTOTAL(3,_xlfn.SINGLE(tbl_pros[RowId]))</f>
        <v>1</v>
      </c>
    </row>
    <row r="464" spans="10:44">
      <c r="J464" s="4">
        <v>454</v>
      </c>
      <c r="K464" s="20" t="s">
        <v>48</v>
      </c>
      <c r="L464" s="2" t="s">
        <v>990</v>
      </c>
      <c r="M464" s="4">
        <v>1</v>
      </c>
      <c r="N464" s="4" t="s">
        <v>991</v>
      </c>
      <c r="O464" s="21" t="str">
        <f t="shared" si="7"/>
        <v>Better Than Grandmas Dinner! My Parents Were Stunned After Trying It!!!</v>
      </c>
      <c r="P464" s="11" t="s">
        <v>175</v>
      </c>
      <c r="AR464" s="11">
        <f>SUBTOTAL(3,_xlfn.SINGLE(tbl_pros[RowId]))</f>
        <v>1</v>
      </c>
    </row>
    <row r="465" spans="10:44">
      <c r="J465" s="4">
        <v>455</v>
      </c>
      <c r="K465" s="20" t="s">
        <v>48</v>
      </c>
      <c r="L465" s="2" t="s">
        <v>992</v>
      </c>
      <c r="M465" s="4">
        <v>1</v>
      </c>
      <c r="N465" s="4" t="s">
        <v>993</v>
      </c>
      <c r="O465" s="21" t="str">
        <f t="shared" si="7"/>
        <v>Better Than Grandmas Dinner! My Parents Were Stunned After Trying It!!!</v>
      </c>
      <c r="P465" s="11" t="s">
        <v>175</v>
      </c>
      <c r="AR465" s="11">
        <f>SUBTOTAL(3,_xlfn.SINGLE(tbl_pros[RowId]))</f>
        <v>1</v>
      </c>
    </row>
    <row r="466" spans="10:44">
      <c r="J466" s="4">
        <v>456</v>
      </c>
      <c r="K466" s="20" t="s">
        <v>48</v>
      </c>
      <c r="L466" s="2" t="s">
        <v>994</v>
      </c>
      <c r="M466" s="4">
        <v>1</v>
      </c>
      <c r="N466" s="4" t="s">
        <v>995</v>
      </c>
      <c r="O466" s="21" t="str">
        <f t="shared" si="7"/>
        <v>Better Than Grandmas Dinner! My Parents Were Stunned After Trying It!!!</v>
      </c>
      <c r="P466" s="11" t="s">
        <v>175</v>
      </c>
      <c r="AR466" s="11">
        <f>SUBTOTAL(3,_xlfn.SINGLE(tbl_pros[RowId]))</f>
        <v>1</v>
      </c>
    </row>
    <row r="467" spans="10:44">
      <c r="J467" s="4">
        <v>457</v>
      </c>
      <c r="K467" s="20" t="s">
        <v>48</v>
      </c>
      <c r="L467" s="2" t="s">
        <v>996</v>
      </c>
      <c r="M467" s="4">
        <v>1</v>
      </c>
      <c r="N467" s="4" t="s">
        <v>997</v>
      </c>
      <c r="O467" s="21" t="str">
        <f t="shared" si="7"/>
        <v>Better Than Grandmas Dinner! My Parents Were Stunned After Trying It!!!</v>
      </c>
      <c r="P467" s="11" t="s">
        <v>175</v>
      </c>
      <c r="AR467" s="11">
        <f>SUBTOTAL(3,_xlfn.SINGLE(tbl_pros[RowId]))</f>
        <v>1</v>
      </c>
    </row>
    <row r="468" spans="10:44">
      <c r="J468" s="4">
        <v>458</v>
      </c>
      <c r="K468" s="20" t="s">
        <v>48</v>
      </c>
      <c r="L468" s="2" t="s">
        <v>998</v>
      </c>
      <c r="M468" s="4">
        <v>1</v>
      </c>
      <c r="N468" s="4" t="s">
        <v>999</v>
      </c>
      <c r="O468" s="21" t="str">
        <f t="shared" si="7"/>
        <v>Better Than Grandmas Dinner! My Parents Were Stunned After Trying It!!!</v>
      </c>
      <c r="P468" s="11" t="s">
        <v>175</v>
      </c>
      <c r="AR468" s="11">
        <f>SUBTOTAL(3,_xlfn.SINGLE(tbl_pros[RowId]))</f>
        <v>1</v>
      </c>
    </row>
    <row r="469" spans="10:44">
      <c r="J469" s="4">
        <v>459</v>
      </c>
      <c r="K469" s="20" t="s">
        <v>48</v>
      </c>
      <c r="L469" s="2" t="s">
        <v>1000</v>
      </c>
      <c r="M469" s="4">
        <v>1</v>
      </c>
      <c r="N469" s="4" t="s">
        <v>1001</v>
      </c>
      <c r="O469" s="21" t="str">
        <f t="shared" si="7"/>
        <v>Better Than Grandmas Dinner! My Parents Were Stunned After Trying It!!!</v>
      </c>
      <c r="P469" s="11" t="s">
        <v>175</v>
      </c>
      <c r="AR469" s="11">
        <f>SUBTOTAL(3,_xlfn.SINGLE(tbl_pros[RowId]))</f>
        <v>1</v>
      </c>
    </row>
    <row r="470" spans="10:44">
      <c r="J470" s="4">
        <v>460</v>
      </c>
      <c r="K470" s="20" t="s">
        <v>48</v>
      </c>
      <c r="L470" s="2" t="s">
        <v>1002</v>
      </c>
      <c r="M470" s="4">
        <v>1</v>
      </c>
      <c r="N470" s="4" t="s">
        <v>1003</v>
      </c>
      <c r="O470" s="21" t="str">
        <f t="shared" ref="O470:O497" si="8">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P470" s="11" t="s">
        <v>175</v>
      </c>
      <c r="AR470" s="11">
        <f>SUBTOTAL(3,_xlfn.SINGLE(tbl_pros[RowId]))</f>
        <v>1</v>
      </c>
    </row>
    <row r="471" spans="10:44">
      <c r="J471" s="4">
        <v>461</v>
      </c>
      <c r="K471" s="20" t="s">
        <v>48</v>
      </c>
      <c r="L471" s="2" t="s">
        <v>1004</v>
      </c>
      <c r="M471" s="4">
        <v>1</v>
      </c>
      <c r="N471" s="4" t="s">
        <v>1005</v>
      </c>
      <c r="O471" s="21" t="str">
        <f t="shared" si="8"/>
        <v>Dont Eat It Out of a Box! New Pasta Trend is Taking Over The World and Its Absolutely Stunning!</v>
      </c>
      <c r="P471" s="11" t="s">
        <v>175</v>
      </c>
      <c r="AR471" s="11">
        <f>SUBTOTAL(3,_xlfn.SINGLE(tbl_pros[RowId]))</f>
        <v>1</v>
      </c>
    </row>
    <row r="472" spans="10:44">
      <c r="J472" s="4">
        <v>462</v>
      </c>
      <c r="K472" s="20" t="s">
        <v>48</v>
      </c>
      <c r="L472" s="2" t="s">
        <v>1006</v>
      </c>
      <c r="M472" s="4">
        <v>1</v>
      </c>
      <c r="N472" s="4" t="s">
        <v>1007</v>
      </c>
      <c r="O472" s="21" t="str">
        <f t="shared" si="8"/>
        <v>Dont Eat It Out of a Box! New Pasta Trend is Taking Over The World and Its Absolutely Stunning!</v>
      </c>
      <c r="P472" s="11" t="s">
        <v>175</v>
      </c>
      <c r="AR472" s="11">
        <f>SUBTOTAL(3,_xlfn.SINGLE(tbl_pros[RowId]))</f>
        <v>1</v>
      </c>
    </row>
    <row r="473" spans="10:44">
      <c r="J473" s="4">
        <v>463</v>
      </c>
      <c r="K473" s="20" t="s">
        <v>48</v>
      </c>
      <c r="L473" s="2" t="s">
        <v>1008</v>
      </c>
      <c r="M473" s="4">
        <v>1</v>
      </c>
      <c r="N473" s="4" t="s">
        <v>1009</v>
      </c>
      <c r="O473" s="21" t="str">
        <f t="shared" si="8"/>
        <v>Dont Eat It Out of a Box! New Pasta Trend is Taking Over The World and Its Absolutely Stunning!</v>
      </c>
      <c r="P473" s="11" t="s">
        <v>175</v>
      </c>
      <c r="AR473" s="11">
        <f>SUBTOTAL(3,_xlfn.SINGLE(tbl_pros[RowId]))</f>
        <v>1</v>
      </c>
    </row>
    <row r="474" spans="10:44">
      <c r="J474" s="4">
        <v>464</v>
      </c>
      <c r="K474" s="20" t="s">
        <v>48</v>
      </c>
      <c r="L474" s="2" t="s">
        <v>1010</v>
      </c>
      <c r="M474" s="4">
        <v>1</v>
      </c>
      <c r="N474" s="4" t="s">
        <v>1011</v>
      </c>
      <c r="O474" s="21" t="str">
        <f t="shared" si="8"/>
        <v>Dont Eat It Out of a Box! New Pasta Trend is Taking Over The World and Its Absolutely Stunning!</v>
      </c>
      <c r="P474" s="11" t="s">
        <v>175</v>
      </c>
      <c r="AR474" s="11">
        <f>SUBTOTAL(3,_xlfn.SINGLE(tbl_pros[RowId]))</f>
        <v>1</v>
      </c>
    </row>
    <row r="475" spans="10:44">
      <c r="J475" s="4">
        <v>465</v>
      </c>
      <c r="K475" s="20" t="s">
        <v>48</v>
      </c>
      <c r="L475" s="2" t="s">
        <v>1012</v>
      </c>
      <c r="M475" s="4">
        <v>1</v>
      </c>
      <c r="N475" s="4" t="s">
        <v>1013</v>
      </c>
      <c r="O475" s="21" t="str">
        <f t="shared" si="8"/>
        <v>Dont Eat It Out of a Box! New Pasta Trend is Taking Over The World and Its Absolutely Stunning!</v>
      </c>
      <c r="P475" s="11" t="s">
        <v>175</v>
      </c>
      <c r="AR475" s="11">
        <f>SUBTOTAL(3,_xlfn.SINGLE(tbl_pros[RowId]))</f>
        <v>1</v>
      </c>
    </row>
    <row r="476" spans="10:44">
      <c r="J476" s="4">
        <v>466</v>
      </c>
      <c r="K476" s="20" t="s">
        <v>48</v>
      </c>
      <c r="L476" s="2" t="s">
        <v>1014</v>
      </c>
      <c r="M476" s="4">
        <v>1</v>
      </c>
      <c r="N476" s="4" t="s">
        <v>1015</v>
      </c>
      <c r="O476" s="21" t="str">
        <f t="shared" si="8"/>
        <v>Dont Eat It Out of a Box! New Pasta Trend is Taking Over The World and Its Absolutely Stunning!</v>
      </c>
      <c r="P476" s="11" t="s">
        <v>175</v>
      </c>
      <c r="AR476" s="11">
        <f>SUBTOTAL(3,_xlfn.SINGLE(tbl_pros[RowId]))</f>
        <v>1</v>
      </c>
    </row>
    <row r="477" spans="10:44">
      <c r="J477" s="4">
        <v>467</v>
      </c>
      <c r="K477" s="20" t="s">
        <v>48</v>
      </c>
      <c r="L477" s="2" t="s">
        <v>1016</v>
      </c>
      <c r="M477" s="4">
        <v>1</v>
      </c>
      <c r="N477" s="4" t="s">
        <v>1017</v>
      </c>
      <c r="O477" s="21" t="str">
        <f t="shared" si="8"/>
        <v>Dont Eat It Out of a Box! New Pasta Trend is Taking Over The World and Its Absolutely Stunning!</v>
      </c>
      <c r="P477" s="11" t="s">
        <v>175</v>
      </c>
      <c r="AR477" s="11">
        <f>SUBTOTAL(3,_xlfn.SINGLE(tbl_pros[RowId]))</f>
        <v>1</v>
      </c>
    </row>
    <row r="478" spans="10:44">
      <c r="J478" s="4">
        <v>468</v>
      </c>
      <c r="K478" s="20" t="s">
        <v>48</v>
      </c>
      <c r="L478" s="2" t="s">
        <v>1018</v>
      </c>
      <c r="M478" s="4">
        <v>1</v>
      </c>
      <c r="N478" s="4" t="s">
        <v>1019</v>
      </c>
      <c r="O478" s="21" t="str">
        <f t="shared" si="8"/>
        <v>Dont Eat It Out of a Box! New Pasta Trend is Taking Over The World and Its Absolutely Stunning!</v>
      </c>
      <c r="P478" s="11" t="s">
        <v>175</v>
      </c>
      <c r="AR478" s="11">
        <f>SUBTOTAL(3,_xlfn.SINGLE(tbl_pros[RowId]))</f>
        <v>1</v>
      </c>
    </row>
    <row r="479" spans="10:44">
      <c r="J479" s="4">
        <v>469</v>
      </c>
      <c r="K479" s="20" t="s">
        <v>48</v>
      </c>
      <c r="L479" s="2" t="s">
        <v>1020</v>
      </c>
      <c r="M479" s="4">
        <v>1</v>
      </c>
      <c r="N479" s="4" t="s">
        <v>1021</v>
      </c>
      <c r="O479" s="21" t="str">
        <f t="shared" si="8"/>
        <v>Dont Eat It Out of a Box! New Pasta Trend is Taking Over The World and Its Absolutely Stunning!</v>
      </c>
      <c r="P479" s="11" t="s">
        <v>175</v>
      </c>
      <c r="AR479" s="11">
        <f>SUBTOTAL(3,_xlfn.SINGLE(tbl_pros[RowId]))</f>
        <v>1</v>
      </c>
    </row>
    <row r="480" spans="10:44">
      <c r="J480" s="4">
        <v>470</v>
      </c>
      <c r="K480" s="20" t="s">
        <v>48</v>
      </c>
      <c r="L480" s="2" t="s">
        <v>1022</v>
      </c>
      <c r="M480" s="4">
        <v>1</v>
      </c>
      <c r="N480" s="4" t="s">
        <v>1023</v>
      </c>
      <c r="O480" s="21" t="str">
        <f t="shared" si="8"/>
        <v>Dont Eat It Out of a Box! New Pasta Trend is Taking Over The World and Its Absolutely Stunning!</v>
      </c>
      <c r="P480" s="11" t="s">
        <v>175</v>
      </c>
      <c r="AR480" s="11">
        <f>SUBTOTAL(3,_xlfn.SINGLE(tbl_pros[RowId]))</f>
        <v>1</v>
      </c>
    </row>
    <row r="481" spans="10:44">
      <c r="J481" s="4">
        <v>471</v>
      </c>
      <c r="K481" s="20" t="s">
        <v>48</v>
      </c>
      <c r="L481" s="2" t="s">
        <v>1024</v>
      </c>
      <c r="M481" s="4">
        <v>1</v>
      </c>
      <c r="N481" s="4" t="s">
        <v>1025</v>
      </c>
      <c r="O481" s="21" t="str">
        <f t="shared" si="8"/>
        <v>Dont Eat It Out of a Box! New Pasta Trend is Taking Over The World and Its Absolutely Stunning!</v>
      </c>
      <c r="P481" s="11" t="s">
        <v>175</v>
      </c>
      <c r="AR481" s="11">
        <f>SUBTOTAL(3,_xlfn.SINGLE(tbl_pros[RowId]))</f>
        <v>1</v>
      </c>
    </row>
    <row r="482" spans="10:44">
      <c r="J482" s="4">
        <v>472</v>
      </c>
      <c r="K482" s="20" t="s">
        <v>48</v>
      </c>
      <c r="L482" s="2" t="s">
        <v>1026</v>
      </c>
      <c r="M482" s="4">
        <v>1</v>
      </c>
      <c r="N482" s="4" t="s">
        <v>1027</v>
      </c>
      <c r="O482" s="21" t="str">
        <f t="shared" si="8"/>
        <v>Dont Eat It Out of a Box! New Pasta Trend is Taking Over The World and Its Absolutely Stunning!</v>
      </c>
      <c r="P482" s="11" t="s">
        <v>175</v>
      </c>
      <c r="AR482" s="11">
        <f>SUBTOTAL(3,_xlfn.SINGLE(tbl_pros[RowId]))</f>
        <v>1</v>
      </c>
    </row>
    <row r="483" spans="10:44">
      <c r="J483" s="4">
        <v>473</v>
      </c>
      <c r="K483" s="20" t="s">
        <v>48</v>
      </c>
      <c r="L483" s="2" t="s">
        <v>1028</v>
      </c>
      <c r="M483" s="4">
        <v>1</v>
      </c>
      <c r="N483" s="4" t="s">
        <v>1029</v>
      </c>
      <c r="O483" s="21" t="str">
        <f t="shared" si="8"/>
        <v>Dont Eat It Out of a Box! New Pasta Trend is Taking Over The World and Its Absolutely Stunning!</v>
      </c>
      <c r="P483" s="11" t="s">
        <v>175</v>
      </c>
      <c r="AR483" s="11">
        <f>SUBTOTAL(3,_xlfn.SINGLE(tbl_pros[RowId]))</f>
        <v>1</v>
      </c>
    </row>
    <row r="484" spans="10:44">
      <c r="J484" s="4">
        <v>474</v>
      </c>
      <c r="K484" s="20" t="s">
        <v>48</v>
      </c>
      <c r="L484" s="2" t="s">
        <v>1030</v>
      </c>
      <c r="M484" s="4">
        <v>1</v>
      </c>
      <c r="N484" s="4" t="s">
        <v>1031</v>
      </c>
      <c r="O484" s="21" t="str">
        <f t="shared" si="8"/>
        <v>Dont Eat It Out of a Box! New Pasta Trend is Taking Over The World and Its Absolutely Stunning!</v>
      </c>
      <c r="P484" s="11" t="s">
        <v>175</v>
      </c>
      <c r="AR484" s="11">
        <f>SUBTOTAL(3,_xlfn.SINGLE(tbl_pros[RowId]))</f>
        <v>1</v>
      </c>
    </row>
    <row r="485" spans="10:44">
      <c r="J485" s="4">
        <v>475</v>
      </c>
      <c r="K485" s="20" t="s">
        <v>48</v>
      </c>
      <c r="L485" s="2" t="s">
        <v>1032</v>
      </c>
      <c r="M485" s="4">
        <v>1</v>
      </c>
      <c r="N485" s="4" t="s">
        <v>1033</v>
      </c>
      <c r="O485" s="21" t="str">
        <f t="shared" si="8"/>
        <v>Dont Eat It Out of a Box! New Pasta Trend is Taking Over The World and Its Absolutely Stunning!</v>
      </c>
      <c r="P485" s="11" t="s">
        <v>175</v>
      </c>
      <c r="AR485" s="11">
        <f>SUBTOTAL(3,_xlfn.SINGLE(tbl_pros[RowId]))</f>
        <v>1</v>
      </c>
    </row>
    <row r="486" spans="10:44">
      <c r="J486" s="4">
        <v>476</v>
      </c>
      <c r="K486" s="20" t="s">
        <v>48</v>
      </c>
      <c r="L486" s="2" t="s">
        <v>1034</v>
      </c>
      <c r="M486" s="4">
        <v>1</v>
      </c>
      <c r="N486" s="4" t="s">
        <v>1035</v>
      </c>
      <c r="O486" s="21" t="str">
        <f t="shared" si="8"/>
        <v>Dont Eat It Out of a Box! New Pasta Trend is Taking Over The World and Its Absolutely Stunning!</v>
      </c>
      <c r="P486" s="11" t="s">
        <v>175</v>
      </c>
      <c r="AR486" s="11">
        <f>SUBTOTAL(3,_xlfn.SINGLE(tbl_pros[RowId]))</f>
        <v>1</v>
      </c>
    </row>
    <row r="487" spans="10:44">
      <c r="J487" s="4">
        <v>477</v>
      </c>
      <c r="K487" s="20" t="s">
        <v>48</v>
      </c>
      <c r="L487" s="2" t="s">
        <v>1036</v>
      </c>
      <c r="M487" s="4">
        <v>1</v>
      </c>
      <c r="N487" s="4" t="s">
        <v>1037</v>
      </c>
      <c r="O487" s="21" t="str">
        <f t="shared" si="8"/>
        <v>Dont Eat It Out of a Box! New Pasta Trend is Taking Over The World and Its Absolutely Stunning!</v>
      </c>
      <c r="P487" s="11" t="s">
        <v>175</v>
      </c>
      <c r="AR487" s="11">
        <f>SUBTOTAL(3,_xlfn.SINGLE(tbl_pros[RowId]))</f>
        <v>1</v>
      </c>
    </row>
    <row r="488" spans="10:44">
      <c r="J488" s="4">
        <v>478</v>
      </c>
      <c r="K488" s="20" t="s">
        <v>48</v>
      </c>
      <c r="L488" s="2" t="s">
        <v>1038</v>
      </c>
      <c r="M488" s="4">
        <v>1</v>
      </c>
      <c r="N488" s="4" t="s">
        <v>1039</v>
      </c>
      <c r="O488" s="21" t="str">
        <f t="shared" si="8"/>
        <v>Dont Eat It Out of a Box! New Pasta Trend is Taking Over The World and Its Absolutely Stunning!</v>
      </c>
      <c r="P488" s="11" t="s">
        <v>175</v>
      </c>
      <c r="AR488" s="11">
        <f>SUBTOTAL(3,_xlfn.SINGLE(tbl_pros[RowId]))</f>
        <v>1</v>
      </c>
    </row>
    <row r="489" spans="10:44">
      <c r="J489" s="4">
        <v>479</v>
      </c>
      <c r="K489" s="20" t="s">
        <v>48</v>
      </c>
      <c r="L489" s="2" t="s">
        <v>1040</v>
      </c>
      <c r="M489" s="4">
        <v>1</v>
      </c>
      <c r="N489" s="4" t="s">
        <v>1041</v>
      </c>
      <c r="O489" s="21" t="str">
        <f t="shared" si="8"/>
        <v>Dont Eat It Out of a Box! New Pasta Trend is Taking Over The World and Its Absolutely Stunning!</v>
      </c>
      <c r="P489" s="11" t="s">
        <v>175</v>
      </c>
      <c r="AR489" s="11">
        <f>SUBTOTAL(3,_xlfn.SINGLE(tbl_pros[RowId]))</f>
        <v>1</v>
      </c>
    </row>
    <row r="490" spans="10:44">
      <c r="J490" s="4">
        <v>480</v>
      </c>
      <c r="K490" s="20" t="s">
        <v>48</v>
      </c>
      <c r="L490" s="2" t="s">
        <v>1042</v>
      </c>
      <c r="M490" s="4">
        <v>1</v>
      </c>
      <c r="N490" s="4" t="s">
        <v>1043</v>
      </c>
      <c r="O490" s="21" t="str">
        <f t="shared" si="8"/>
        <v>Dont Eat It Out of a Box! New Pasta Trend is Taking Over The World and Its Absolutely Stunning!</v>
      </c>
      <c r="P490" s="11" t="s">
        <v>175</v>
      </c>
      <c r="AR490" s="11">
        <f>SUBTOTAL(3,_xlfn.SINGLE(tbl_pros[RowId]))</f>
        <v>1</v>
      </c>
    </row>
    <row r="491" spans="10:44">
      <c r="J491" s="4">
        <v>481</v>
      </c>
      <c r="K491" s="20" t="s">
        <v>48</v>
      </c>
      <c r="L491" s="2" t="s">
        <v>1044</v>
      </c>
      <c r="M491" s="4">
        <v>1</v>
      </c>
      <c r="N491" s="4" t="s">
        <v>1045</v>
      </c>
      <c r="O491" s="21" t="str">
        <f t="shared" si="8"/>
        <v>Dont Eat It Out of a Box! New Pasta Trend is Taking Over The World and Its Absolutely Stunning!</v>
      </c>
      <c r="P491" s="11" t="s">
        <v>175</v>
      </c>
      <c r="AR491" s="11">
        <f>SUBTOTAL(3,_xlfn.SINGLE(tbl_pros[RowId]))</f>
        <v>1</v>
      </c>
    </row>
    <row r="492" spans="10:44">
      <c r="J492" s="4">
        <v>482</v>
      </c>
      <c r="K492" s="20" t="s">
        <v>48</v>
      </c>
      <c r="L492" s="2" t="s">
        <v>1046</v>
      </c>
      <c r="M492" s="4">
        <v>1</v>
      </c>
      <c r="N492" s="4" t="s">
        <v>1047</v>
      </c>
      <c r="O492" s="21" t="str">
        <f t="shared" si="8"/>
        <v>Dont Eat It Out of a Box! New Pasta Trend is Taking Over The World and Its Absolutely Stunning!</v>
      </c>
      <c r="P492" s="11" t="s">
        <v>175</v>
      </c>
      <c r="AR492" s="11">
        <f>SUBTOTAL(3,_xlfn.SINGLE(tbl_pros[RowId]))</f>
        <v>1</v>
      </c>
    </row>
    <row r="493" spans="10:44">
      <c r="J493" s="4">
        <v>483</v>
      </c>
      <c r="K493" s="20" t="s">
        <v>48</v>
      </c>
      <c r="L493" s="2" t="s">
        <v>1048</v>
      </c>
      <c r="M493" s="4">
        <v>1</v>
      </c>
      <c r="N493" s="4" t="s">
        <v>1049</v>
      </c>
      <c r="O493" s="21" t="str">
        <f t="shared" si="8"/>
        <v>Dont Eat It Out of a Box! New Pasta Trend is Taking Over The World and Its Absolutely Stunning!</v>
      </c>
      <c r="P493" s="11" t="s">
        <v>175</v>
      </c>
      <c r="AR493" s="11">
        <f>SUBTOTAL(3,_xlfn.SINGLE(tbl_pros[RowId]))</f>
        <v>1</v>
      </c>
    </row>
    <row r="494" spans="10:44">
      <c r="J494" s="4">
        <v>484</v>
      </c>
      <c r="K494" s="20" t="s">
        <v>48</v>
      </c>
      <c r="L494" s="2" t="s">
        <v>1050</v>
      </c>
      <c r="M494" s="4">
        <v>1</v>
      </c>
      <c r="N494" s="4" t="s">
        <v>1051</v>
      </c>
      <c r="O494" s="21" t="str">
        <f t="shared" si="8"/>
        <v>Dont Eat It Out of a Box! New Pasta Trend is Taking Over The World and Its Absolutely Stunning!</v>
      </c>
      <c r="P494" s="11" t="s">
        <v>175</v>
      </c>
      <c r="AR494" s="11">
        <f>SUBTOTAL(3,_xlfn.SINGLE(tbl_pros[RowId]))</f>
        <v>1</v>
      </c>
    </row>
    <row r="495" spans="10:44">
      <c r="J495" s="4">
        <v>485</v>
      </c>
      <c r="K495" s="20" t="s">
        <v>48</v>
      </c>
      <c r="L495" s="2" t="s">
        <v>1052</v>
      </c>
      <c r="M495" s="4">
        <v>1</v>
      </c>
      <c r="N495" s="4" t="s">
        <v>1053</v>
      </c>
      <c r="O495" s="21" t="str">
        <f t="shared" si="8"/>
        <v>Dont Eat It Out of a Box! New Pasta Trend is Taking Over The World and Its Absolutely Stunning!</v>
      </c>
      <c r="P495" s="11" t="s">
        <v>175</v>
      </c>
      <c r="AR495" s="11">
        <f>SUBTOTAL(3,_xlfn.SINGLE(tbl_pros[RowId]))</f>
        <v>1</v>
      </c>
    </row>
    <row r="496" spans="10:44">
      <c r="J496" s="4">
        <v>486</v>
      </c>
      <c r="K496" s="20" t="s">
        <v>48</v>
      </c>
      <c r="L496" s="2" t="s">
        <v>1054</v>
      </c>
      <c r="M496" s="4">
        <v>1</v>
      </c>
      <c r="N496" s="4" t="s">
        <v>1055</v>
      </c>
      <c r="O496" s="21" t="str">
        <f t="shared" si="8"/>
        <v>Dont Eat It Out of a Box! New Pasta Trend is Taking Over The World and Its Absolutely Stunning!</v>
      </c>
      <c r="P496" s="11" t="s">
        <v>175</v>
      </c>
      <c r="AR496" s="11">
        <f>SUBTOTAL(3,_xlfn.SINGLE(tbl_pros[RowId]))</f>
        <v>1</v>
      </c>
    </row>
    <row r="497" spans="10:44">
      <c r="J497" s="4">
        <v>487</v>
      </c>
      <c r="K497" s="20" t="s">
        <v>48</v>
      </c>
      <c r="L497" s="2" t="s">
        <v>1056</v>
      </c>
      <c r="M497" s="4">
        <v>1</v>
      </c>
      <c r="N497" s="4" t="s">
        <v>1057</v>
      </c>
      <c r="O497" s="21" t="str">
        <f t="shared" si="8"/>
        <v>Dont Eat It Out of a Box! New Pasta Trend is Taking Over The World and Its Absolutely Stunning!</v>
      </c>
      <c r="P497" s="11" t="s">
        <v>175</v>
      </c>
      <c r="AR497" s="11">
        <f>SUBTOTAL(3,_xlfn.SINGLE(tbl_pros[RowId]))</f>
        <v>1</v>
      </c>
    </row>
    <row r="498" spans="10:44">
      <c r="J498" s="4">
        <v>488</v>
      </c>
      <c r="K498" s="20" t="s">
        <v>48</v>
      </c>
      <c r="L498" s="2" t="s">
        <v>1058</v>
      </c>
      <c r="M498" s="4">
        <v>2</v>
      </c>
      <c r="N498" s="4" t="s">
        <v>1059</v>
      </c>
      <c r="O498" s="21" t="str">
        <f t="shared" ref="O498:O512" si="9">HYPERLINK("obsidian://open?vault=o2&amp;file=Flat%20Icon%20and%20Shadow%20Using%20The%20Blend%20Tool%20In%20Adobe%20Illustrator.md","Flat Icon and Shadow Using The Blend Tool In Adobe Illustrator")</f>
        <v>Flat Icon and Shadow Using The Blend Tool In Adobe Illustrator</v>
      </c>
      <c r="P498" s="11" t="s">
        <v>175</v>
      </c>
      <c r="Q498"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R498" s="11" t="s">
        <v>175</v>
      </c>
      <c r="AR498" s="11">
        <f>SUBTOTAL(3,_xlfn.SINGLE(tbl_pros[RowId]))</f>
        <v>1</v>
      </c>
    </row>
    <row r="499" spans="10:44">
      <c r="J499" s="4">
        <v>489</v>
      </c>
      <c r="K499" s="20" t="s">
        <v>48</v>
      </c>
      <c r="L499" s="2" t="s">
        <v>1060</v>
      </c>
      <c r="M499" s="4">
        <v>1</v>
      </c>
      <c r="N499" s="4" t="s">
        <v>1061</v>
      </c>
      <c r="O499" s="21" t="str">
        <f t="shared" si="9"/>
        <v>Flat Icon and Shadow Using The Blend Tool In Adobe Illustrator</v>
      </c>
      <c r="P499" s="11" t="s">
        <v>175</v>
      </c>
      <c r="AR499" s="11">
        <f>SUBTOTAL(3,_xlfn.SINGLE(tbl_pros[RowId]))</f>
        <v>1</v>
      </c>
    </row>
    <row r="500" spans="10:44">
      <c r="J500" s="4">
        <v>490</v>
      </c>
      <c r="K500" s="20" t="s">
        <v>48</v>
      </c>
      <c r="L500" s="2" t="s">
        <v>1062</v>
      </c>
      <c r="M500" s="4">
        <v>1</v>
      </c>
      <c r="N500" s="4" t="s">
        <v>1063</v>
      </c>
      <c r="O500" s="21" t="str">
        <f t="shared" si="9"/>
        <v>Flat Icon and Shadow Using The Blend Tool In Adobe Illustrator</v>
      </c>
      <c r="P500" s="11" t="s">
        <v>175</v>
      </c>
      <c r="AR500" s="11">
        <f>SUBTOTAL(3,_xlfn.SINGLE(tbl_pros[RowId]))</f>
        <v>1</v>
      </c>
    </row>
    <row r="501" spans="10:44">
      <c r="J501" s="4">
        <v>491</v>
      </c>
      <c r="K501" s="20" t="s">
        <v>48</v>
      </c>
      <c r="L501" s="2" t="s">
        <v>1064</v>
      </c>
      <c r="M501" s="4">
        <v>1</v>
      </c>
      <c r="N501" s="4" t="s">
        <v>1065</v>
      </c>
      <c r="O501" s="21" t="str">
        <f t="shared" si="9"/>
        <v>Flat Icon and Shadow Using The Blend Tool In Adobe Illustrator</v>
      </c>
      <c r="P501" s="11" t="s">
        <v>175</v>
      </c>
      <c r="AR501" s="11">
        <f>SUBTOTAL(3,_xlfn.SINGLE(tbl_pros[RowId]))</f>
        <v>1</v>
      </c>
    </row>
    <row r="502" spans="10:44">
      <c r="J502" s="4">
        <v>492</v>
      </c>
      <c r="K502" s="20" t="s">
        <v>48</v>
      </c>
      <c r="L502" s="2" t="s">
        <v>1066</v>
      </c>
      <c r="M502" s="4">
        <v>1</v>
      </c>
      <c r="N502" s="4" t="s">
        <v>1067</v>
      </c>
      <c r="O502" s="21" t="str">
        <f t="shared" si="9"/>
        <v>Flat Icon and Shadow Using The Blend Tool In Adobe Illustrator</v>
      </c>
      <c r="P502" s="11" t="s">
        <v>175</v>
      </c>
      <c r="AR502" s="11">
        <f>SUBTOTAL(3,_xlfn.SINGLE(tbl_pros[RowId]))</f>
        <v>1</v>
      </c>
    </row>
    <row r="503" spans="10:44">
      <c r="J503" s="4">
        <v>493</v>
      </c>
      <c r="K503" s="20" t="s">
        <v>48</v>
      </c>
      <c r="L503" s="2" t="s">
        <v>1068</v>
      </c>
      <c r="M503" s="4">
        <v>1</v>
      </c>
      <c r="N503" s="4" t="s">
        <v>1069</v>
      </c>
      <c r="O503" s="21" t="str">
        <f t="shared" si="9"/>
        <v>Flat Icon and Shadow Using The Blend Tool In Adobe Illustrator</v>
      </c>
      <c r="P503" s="11" t="s">
        <v>175</v>
      </c>
      <c r="AR503" s="11">
        <f>SUBTOTAL(3,_xlfn.SINGLE(tbl_pros[RowId]))</f>
        <v>1</v>
      </c>
    </row>
    <row r="504" spans="10:44">
      <c r="J504" s="4">
        <v>494</v>
      </c>
      <c r="K504" s="20" t="s">
        <v>48</v>
      </c>
      <c r="L504" s="2" t="s">
        <v>1070</v>
      </c>
      <c r="M504" s="4">
        <v>1</v>
      </c>
      <c r="N504" s="4" t="s">
        <v>1071</v>
      </c>
      <c r="O504" s="21" t="str">
        <f t="shared" si="9"/>
        <v>Flat Icon and Shadow Using The Blend Tool In Adobe Illustrator</v>
      </c>
      <c r="P504" s="11" t="s">
        <v>175</v>
      </c>
      <c r="AR504" s="11">
        <f>SUBTOTAL(3,_xlfn.SINGLE(tbl_pros[RowId]))</f>
        <v>1</v>
      </c>
    </row>
    <row r="505" spans="10:44">
      <c r="J505" s="4">
        <v>495</v>
      </c>
      <c r="K505" s="20" t="s">
        <v>48</v>
      </c>
      <c r="L505" s="2" t="s">
        <v>1072</v>
      </c>
      <c r="M505" s="4">
        <v>1</v>
      </c>
      <c r="N505" s="4" t="s">
        <v>1073</v>
      </c>
      <c r="O505" s="21" t="str">
        <f t="shared" si="9"/>
        <v>Flat Icon and Shadow Using The Blend Tool In Adobe Illustrator</v>
      </c>
      <c r="P505" s="11" t="s">
        <v>175</v>
      </c>
      <c r="AR505" s="11">
        <f>SUBTOTAL(3,_xlfn.SINGLE(tbl_pros[RowId]))</f>
        <v>1</v>
      </c>
    </row>
    <row r="506" spans="10:44">
      <c r="J506" s="4">
        <v>496</v>
      </c>
      <c r="K506" s="20" t="s">
        <v>48</v>
      </c>
      <c r="L506" s="2" t="s">
        <v>1074</v>
      </c>
      <c r="M506" s="4">
        <v>2</v>
      </c>
      <c r="N506" s="4" t="s">
        <v>1075</v>
      </c>
      <c r="O506" s="21" t="str">
        <f t="shared" si="9"/>
        <v>Flat Icon and Shadow Using The Blend Tool In Adobe Illustrator</v>
      </c>
      <c r="P506" s="11" t="s">
        <v>175</v>
      </c>
      <c r="Q506"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R506" s="11" t="s">
        <v>175</v>
      </c>
      <c r="AR506" s="11">
        <f>SUBTOTAL(3,_xlfn.SINGLE(tbl_pros[RowId]))</f>
        <v>1</v>
      </c>
    </row>
    <row r="507" spans="10:44">
      <c r="J507" s="4">
        <v>497</v>
      </c>
      <c r="K507" s="20" t="s">
        <v>48</v>
      </c>
      <c r="L507" s="2" t="s">
        <v>1076</v>
      </c>
      <c r="M507" s="4">
        <v>1</v>
      </c>
      <c r="N507" s="4" t="s">
        <v>1077</v>
      </c>
      <c r="O507" s="21" t="str">
        <f t="shared" si="9"/>
        <v>Flat Icon and Shadow Using The Blend Tool In Adobe Illustrator</v>
      </c>
      <c r="P507" s="11" t="s">
        <v>175</v>
      </c>
      <c r="AR507" s="11">
        <f>SUBTOTAL(3,_xlfn.SINGLE(tbl_pros[RowId]))</f>
        <v>1</v>
      </c>
    </row>
    <row r="508" spans="10:44">
      <c r="J508" s="4">
        <v>498</v>
      </c>
      <c r="K508" s="20" t="s">
        <v>48</v>
      </c>
      <c r="L508" s="2" t="s">
        <v>1078</v>
      </c>
      <c r="M508" s="4">
        <v>1</v>
      </c>
      <c r="N508" s="4" t="s">
        <v>1079</v>
      </c>
      <c r="O508" s="21" t="str">
        <f t="shared" si="9"/>
        <v>Flat Icon and Shadow Using The Blend Tool In Adobe Illustrator</v>
      </c>
      <c r="P508" s="11" t="s">
        <v>175</v>
      </c>
      <c r="AR508" s="11">
        <f>SUBTOTAL(3,_xlfn.SINGLE(tbl_pros[RowId]))</f>
        <v>1</v>
      </c>
    </row>
    <row r="509" spans="10:44">
      <c r="J509" s="4">
        <v>499</v>
      </c>
      <c r="K509" s="20" t="s">
        <v>48</v>
      </c>
      <c r="L509" s="2" t="s">
        <v>1080</v>
      </c>
      <c r="M509" s="4">
        <v>1</v>
      </c>
      <c r="N509" s="4" t="s">
        <v>1081</v>
      </c>
      <c r="O509" s="21" t="str">
        <f t="shared" si="9"/>
        <v>Flat Icon and Shadow Using The Blend Tool In Adobe Illustrator</v>
      </c>
      <c r="P509" s="11" t="s">
        <v>175</v>
      </c>
      <c r="AR509" s="11">
        <f>SUBTOTAL(3,_xlfn.SINGLE(tbl_pros[RowId]))</f>
        <v>1</v>
      </c>
    </row>
    <row r="510" spans="10:44">
      <c r="J510" s="4">
        <v>500</v>
      </c>
      <c r="K510" s="20" t="s">
        <v>48</v>
      </c>
      <c r="L510" s="2" t="s">
        <v>1082</v>
      </c>
      <c r="M510" s="4">
        <v>1</v>
      </c>
      <c r="N510" s="4" t="s">
        <v>1083</v>
      </c>
      <c r="O510" s="21" t="str">
        <f t="shared" si="9"/>
        <v>Flat Icon and Shadow Using The Blend Tool In Adobe Illustrator</v>
      </c>
      <c r="P510" s="11" t="s">
        <v>175</v>
      </c>
      <c r="AR510" s="11">
        <f>SUBTOTAL(3,_xlfn.SINGLE(tbl_pros[RowId]))</f>
        <v>1</v>
      </c>
    </row>
    <row r="511" spans="10:44">
      <c r="J511" s="4">
        <v>501</v>
      </c>
      <c r="K511" s="20" t="s">
        <v>48</v>
      </c>
      <c r="L511" s="2" t="s">
        <v>1084</v>
      </c>
      <c r="M511" s="4">
        <v>1</v>
      </c>
      <c r="N511" s="4" t="s">
        <v>1085</v>
      </c>
      <c r="O511" s="21" t="str">
        <f t="shared" si="9"/>
        <v>Flat Icon and Shadow Using The Blend Tool In Adobe Illustrator</v>
      </c>
      <c r="P511" s="11" t="s">
        <v>175</v>
      </c>
      <c r="AR511" s="11">
        <f>SUBTOTAL(3,_xlfn.SINGLE(tbl_pros[RowId]))</f>
        <v>1</v>
      </c>
    </row>
    <row r="512" spans="10:44">
      <c r="J512" s="4">
        <v>502</v>
      </c>
      <c r="K512" s="20" t="s">
        <v>48</v>
      </c>
      <c r="L512" s="2" t="s">
        <v>1086</v>
      </c>
      <c r="M512" s="4">
        <v>1</v>
      </c>
      <c r="N512" s="4" t="s">
        <v>1087</v>
      </c>
      <c r="O512" s="21" t="str">
        <f t="shared" si="9"/>
        <v>Flat Icon and Shadow Using The Blend Tool In Adobe Illustrator</v>
      </c>
      <c r="P512" s="11" t="s">
        <v>175</v>
      </c>
      <c r="AR512" s="11">
        <f>SUBTOTAL(3,_xlfn.SINGLE(tbl_pros[RowId]))</f>
        <v>1</v>
      </c>
    </row>
    <row r="513" spans="10:44">
      <c r="J513" s="4">
        <v>503</v>
      </c>
      <c r="K513" s="20" t="s">
        <v>48</v>
      </c>
      <c r="L513" s="2" t="s">
        <v>1088</v>
      </c>
      <c r="M513" s="4">
        <v>1</v>
      </c>
      <c r="N513" s="4" t="s">
        <v>1089</v>
      </c>
      <c r="O513" s="21" t="str">
        <f t="shared" ref="O513:O529" si="10">HYPERLINK("obsidian://open?vault=o2&amp;file=Free%20Lightroom%20Tutorial%20%20Adobe%20Lightroom%20Essentials%20Training%20Course.md","Free Lightroom Tutorial  Adobe Lightroom Essentials Training Course")</f>
        <v>Free Lightroom Tutorial  Adobe Lightroom Essentials Training Course</v>
      </c>
      <c r="P513" s="11" t="s">
        <v>175</v>
      </c>
      <c r="AR513" s="11">
        <f>SUBTOTAL(3,_xlfn.SINGLE(tbl_pros[RowId]))</f>
        <v>1</v>
      </c>
    </row>
    <row r="514" spans="10:44">
      <c r="J514" s="4">
        <v>504</v>
      </c>
      <c r="K514" s="20" t="s">
        <v>48</v>
      </c>
      <c r="L514" s="2" t="s">
        <v>1090</v>
      </c>
      <c r="M514" s="4">
        <v>1</v>
      </c>
      <c r="N514" s="4" t="s">
        <v>1091</v>
      </c>
      <c r="O514" s="21" t="str">
        <f t="shared" si="10"/>
        <v>Free Lightroom Tutorial  Adobe Lightroom Essentials Training Course</v>
      </c>
      <c r="P514" s="11" t="s">
        <v>175</v>
      </c>
      <c r="AR514" s="11">
        <f>SUBTOTAL(3,_xlfn.SINGLE(tbl_pros[RowId]))</f>
        <v>1</v>
      </c>
    </row>
    <row r="515" spans="10:44">
      <c r="J515" s="4">
        <v>505</v>
      </c>
      <c r="K515" s="20" t="s">
        <v>48</v>
      </c>
      <c r="L515" s="2" t="s">
        <v>1092</v>
      </c>
      <c r="M515" s="4">
        <v>1</v>
      </c>
      <c r="N515" s="4" t="s">
        <v>1093</v>
      </c>
      <c r="O515" s="21" t="str">
        <f t="shared" si="10"/>
        <v>Free Lightroom Tutorial  Adobe Lightroom Essentials Training Course</v>
      </c>
      <c r="P515" s="11" t="s">
        <v>175</v>
      </c>
      <c r="AR515" s="11">
        <f>SUBTOTAL(3,_xlfn.SINGLE(tbl_pros[RowId]))</f>
        <v>1</v>
      </c>
    </row>
    <row r="516" spans="10:44">
      <c r="J516" s="4">
        <v>506</v>
      </c>
      <c r="K516" s="20" t="s">
        <v>48</v>
      </c>
      <c r="L516" s="2" t="s">
        <v>1094</v>
      </c>
      <c r="M516" s="4">
        <v>1</v>
      </c>
      <c r="N516" s="4" t="s">
        <v>1095</v>
      </c>
      <c r="O516" s="21" t="str">
        <f t="shared" si="10"/>
        <v>Free Lightroom Tutorial  Adobe Lightroom Essentials Training Course</v>
      </c>
      <c r="P516" s="11" t="s">
        <v>175</v>
      </c>
      <c r="AR516" s="11">
        <f>SUBTOTAL(3,_xlfn.SINGLE(tbl_pros[RowId]))</f>
        <v>1</v>
      </c>
    </row>
    <row r="517" spans="10:44">
      <c r="J517" s="4">
        <v>507</v>
      </c>
      <c r="K517" s="20" t="s">
        <v>48</v>
      </c>
      <c r="L517" s="2" t="s">
        <v>1096</v>
      </c>
      <c r="M517" s="4">
        <v>1</v>
      </c>
      <c r="N517" s="4" t="s">
        <v>1097</v>
      </c>
      <c r="O517" s="21" t="str">
        <f t="shared" si="10"/>
        <v>Free Lightroom Tutorial  Adobe Lightroom Essentials Training Course</v>
      </c>
      <c r="P517" s="11" t="s">
        <v>175</v>
      </c>
      <c r="AR517" s="11">
        <f>SUBTOTAL(3,_xlfn.SINGLE(tbl_pros[RowId]))</f>
        <v>1</v>
      </c>
    </row>
    <row r="518" spans="10:44">
      <c r="J518" s="4">
        <v>508</v>
      </c>
      <c r="K518" s="20" t="s">
        <v>48</v>
      </c>
      <c r="L518" s="2" t="s">
        <v>1098</v>
      </c>
      <c r="M518" s="4">
        <v>1</v>
      </c>
      <c r="N518" s="4" t="s">
        <v>1099</v>
      </c>
      <c r="O518" s="21" t="str">
        <f t="shared" si="10"/>
        <v>Free Lightroom Tutorial  Adobe Lightroom Essentials Training Course</v>
      </c>
      <c r="P518" s="11" t="s">
        <v>175</v>
      </c>
      <c r="AR518" s="11">
        <f>SUBTOTAL(3,_xlfn.SINGLE(tbl_pros[RowId]))</f>
        <v>1</v>
      </c>
    </row>
    <row r="519" spans="10:44">
      <c r="J519" s="4">
        <v>509</v>
      </c>
      <c r="K519" s="20" t="s">
        <v>48</v>
      </c>
      <c r="L519" s="2" t="s">
        <v>1100</v>
      </c>
      <c r="M519" s="4">
        <v>1</v>
      </c>
      <c r="N519" s="4" t="s">
        <v>1101</v>
      </c>
      <c r="O519" s="21" t="str">
        <f t="shared" si="10"/>
        <v>Free Lightroom Tutorial  Adobe Lightroom Essentials Training Course</v>
      </c>
      <c r="P519" s="11" t="s">
        <v>175</v>
      </c>
      <c r="AR519" s="11">
        <f>SUBTOTAL(3,_xlfn.SINGLE(tbl_pros[RowId]))</f>
        <v>1</v>
      </c>
    </row>
    <row r="520" spans="10:44">
      <c r="J520" s="4">
        <v>510</v>
      </c>
      <c r="K520" s="20" t="s">
        <v>48</v>
      </c>
      <c r="L520" s="2" t="s">
        <v>1102</v>
      </c>
      <c r="M520" s="4">
        <v>1</v>
      </c>
      <c r="N520" s="4" t="s">
        <v>1103</v>
      </c>
      <c r="O520" s="21" t="str">
        <f t="shared" si="10"/>
        <v>Free Lightroom Tutorial  Adobe Lightroom Essentials Training Course</v>
      </c>
      <c r="P520" s="11" t="s">
        <v>175</v>
      </c>
      <c r="AR520" s="11">
        <f>SUBTOTAL(3,_xlfn.SINGLE(tbl_pros[RowId]))</f>
        <v>1</v>
      </c>
    </row>
    <row r="521" spans="10:44">
      <c r="J521" s="4">
        <v>511</v>
      </c>
      <c r="K521" s="20" t="s">
        <v>48</v>
      </c>
      <c r="L521" s="2" t="s">
        <v>1104</v>
      </c>
      <c r="M521" s="4">
        <v>1</v>
      </c>
      <c r="N521" s="4" t="s">
        <v>1105</v>
      </c>
      <c r="O521" s="21" t="str">
        <f t="shared" si="10"/>
        <v>Free Lightroom Tutorial  Adobe Lightroom Essentials Training Course</v>
      </c>
      <c r="P521" s="11" t="s">
        <v>175</v>
      </c>
      <c r="AR521" s="11">
        <f>SUBTOTAL(3,_xlfn.SINGLE(tbl_pros[RowId]))</f>
        <v>1</v>
      </c>
    </row>
    <row r="522" spans="10:44">
      <c r="J522" s="4">
        <v>512</v>
      </c>
      <c r="K522" s="20" t="s">
        <v>48</v>
      </c>
      <c r="L522" s="2" t="s">
        <v>1106</v>
      </c>
      <c r="M522" s="4">
        <v>1</v>
      </c>
      <c r="N522" s="4" t="s">
        <v>1107</v>
      </c>
      <c r="O522" s="21" t="str">
        <f t="shared" si="10"/>
        <v>Free Lightroom Tutorial  Adobe Lightroom Essentials Training Course</v>
      </c>
      <c r="P522" s="11" t="s">
        <v>175</v>
      </c>
      <c r="AR522" s="11">
        <f>SUBTOTAL(3,_xlfn.SINGLE(tbl_pros[RowId]))</f>
        <v>1</v>
      </c>
    </row>
    <row r="523" spans="10:44">
      <c r="J523" s="4">
        <v>513</v>
      </c>
      <c r="K523" s="20" t="s">
        <v>48</v>
      </c>
      <c r="L523" s="2" t="s">
        <v>1108</v>
      </c>
      <c r="M523" s="4">
        <v>1</v>
      </c>
      <c r="N523" s="4" t="s">
        <v>1109</v>
      </c>
      <c r="O523" s="21" t="str">
        <f t="shared" si="10"/>
        <v>Free Lightroom Tutorial  Adobe Lightroom Essentials Training Course</v>
      </c>
      <c r="P523" s="11" t="s">
        <v>175</v>
      </c>
      <c r="AR523" s="11">
        <f>SUBTOTAL(3,_xlfn.SINGLE(tbl_pros[RowId]))</f>
        <v>1</v>
      </c>
    </row>
    <row r="524" spans="10:44">
      <c r="J524" s="4">
        <v>514</v>
      </c>
      <c r="K524" s="20" t="s">
        <v>48</v>
      </c>
      <c r="L524" s="2" t="s">
        <v>1110</v>
      </c>
      <c r="M524" s="4">
        <v>1</v>
      </c>
      <c r="N524" s="4" t="s">
        <v>1111</v>
      </c>
      <c r="O524" s="21" t="str">
        <f t="shared" si="10"/>
        <v>Free Lightroom Tutorial  Adobe Lightroom Essentials Training Course</v>
      </c>
      <c r="P524" s="11" t="s">
        <v>175</v>
      </c>
      <c r="AR524" s="11">
        <f>SUBTOTAL(3,_xlfn.SINGLE(tbl_pros[RowId]))</f>
        <v>1</v>
      </c>
    </row>
    <row r="525" spans="10:44">
      <c r="J525" s="4">
        <v>515</v>
      </c>
      <c r="K525" s="20" t="s">
        <v>48</v>
      </c>
      <c r="L525" s="2" t="s">
        <v>1112</v>
      </c>
      <c r="M525" s="4">
        <v>1</v>
      </c>
      <c r="N525" s="4" t="s">
        <v>1113</v>
      </c>
      <c r="O525" s="21" t="str">
        <f t="shared" si="10"/>
        <v>Free Lightroom Tutorial  Adobe Lightroom Essentials Training Course</v>
      </c>
      <c r="P525" s="11" t="s">
        <v>175</v>
      </c>
      <c r="AR525" s="11">
        <f>SUBTOTAL(3,_xlfn.SINGLE(tbl_pros[RowId]))</f>
        <v>1</v>
      </c>
    </row>
    <row r="526" spans="10:44">
      <c r="J526" s="4">
        <v>516</v>
      </c>
      <c r="K526" s="20" t="s">
        <v>48</v>
      </c>
      <c r="L526" s="2" t="s">
        <v>1114</v>
      </c>
      <c r="M526" s="4">
        <v>1</v>
      </c>
      <c r="N526" s="4" t="s">
        <v>1115</v>
      </c>
      <c r="O526" s="21" t="str">
        <f t="shared" si="10"/>
        <v>Free Lightroom Tutorial  Adobe Lightroom Essentials Training Course</v>
      </c>
      <c r="P526" s="11" t="s">
        <v>175</v>
      </c>
      <c r="AR526" s="11">
        <f>SUBTOTAL(3,_xlfn.SINGLE(tbl_pros[RowId]))</f>
        <v>1</v>
      </c>
    </row>
    <row r="527" spans="10:44">
      <c r="J527" s="4">
        <v>517</v>
      </c>
      <c r="K527" s="20" t="s">
        <v>48</v>
      </c>
      <c r="L527" s="2" t="s">
        <v>1116</v>
      </c>
      <c r="M527" s="4">
        <v>1</v>
      </c>
      <c r="N527" s="4" t="s">
        <v>1117</v>
      </c>
      <c r="O527" s="21" t="str">
        <f t="shared" si="10"/>
        <v>Free Lightroom Tutorial  Adobe Lightroom Essentials Training Course</v>
      </c>
      <c r="P527" s="11" t="s">
        <v>175</v>
      </c>
      <c r="AR527" s="11">
        <f>SUBTOTAL(3,_xlfn.SINGLE(tbl_pros[RowId]))</f>
        <v>1</v>
      </c>
    </row>
    <row r="528" spans="10:44">
      <c r="J528" s="4">
        <v>518</v>
      </c>
      <c r="K528" s="20" t="s">
        <v>48</v>
      </c>
      <c r="L528" s="2" t="s">
        <v>1118</v>
      </c>
      <c r="M528" s="4">
        <v>1</v>
      </c>
      <c r="N528" s="4" t="s">
        <v>1119</v>
      </c>
      <c r="O528" s="21" t="str">
        <f t="shared" si="10"/>
        <v>Free Lightroom Tutorial  Adobe Lightroom Essentials Training Course</v>
      </c>
      <c r="P528" s="11" t="s">
        <v>175</v>
      </c>
      <c r="AR528" s="11">
        <f>SUBTOTAL(3,_xlfn.SINGLE(tbl_pros[RowId]))</f>
        <v>1</v>
      </c>
    </row>
    <row r="529" spans="10:44">
      <c r="J529" s="4">
        <v>519</v>
      </c>
      <c r="K529" s="20" t="s">
        <v>48</v>
      </c>
      <c r="L529" s="2" t="s">
        <v>1120</v>
      </c>
      <c r="M529" s="4">
        <v>1</v>
      </c>
      <c r="N529" s="4" t="s">
        <v>1121</v>
      </c>
      <c r="O529" s="21" t="str">
        <f t="shared" si="10"/>
        <v>Free Lightroom Tutorial  Adobe Lightroom Essentials Training Course</v>
      </c>
      <c r="P529" s="11" t="s">
        <v>175</v>
      </c>
      <c r="AR529" s="11">
        <f>SUBTOTAL(3,_xlfn.SINGLE(tbl_pros[RowId]))</f>
        <v>1</v>
      </c>
    </row>
    <row r="530" spans="10:44">
      <c r="J530" s="4">
        <v>520</v>
      </c>
      <c r="K530" s="20" t="s">
        <v>48</v>
      </c>
      <c r="L530" s="2" t="s">
        <v>1122</v>
      </c>
      <c r="M530" s="4">
        <v>1</v>
      </c>
      <c r="N530" s="4" t="s">
        <v>1123</v>
      </c>
      <c r="O530"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530" s="11" t="s">
        <v>175</v>
      </c>
      <c r="AR530" s="11">
        <f>SUBTOTAL(3,_xlfn.SINGLE(tbl_pros[RowId]))</f>
        <v>1</v>
      </c>
    </row>
    <row r="531" spans="10:44">
      <c r="J531" s="4">
        <v>521</v>
      </c>
      <c r="K531" s="20" t="s">
        <v>48</v>
      </c>
      <c r="L531" s="2" t="s">
        <v>1124</v>
      </c>
      <c r="M531" s="4">
        <v>1</v>
      </c>
      <c r="N531" s="4" t="s">
        <v>1125</v>
      </c>
      <c r="O531"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531" s="11" t="s">
        <v>175</v>
      </c>
      <c r="AR531" s="11">
        <f>SUBTOTAL(3,_xlfn.SINGLE(tbl_pros[RowId]))</f>
        <v>1</v>
      </c>
    </row>
    <row r="532" spans="10:44">
      <c r="J532" s="4">
        <v>522</v>
      </c>
      <c r="K532" s="20" t="s">
        <v>48</v>
      </c>
      <c r="L532" s="2" t="s">
        <v>1126</v>
      </c>
      <c r="M532" s="4">
        <v>1</v>
      </c>
      <c r="N532" s="4" t="s">
        <v>1127</v>
      </c>
      <c r="O532"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532" s="11" t="s">
        <v>175</v>
      </c>
      <c r="AR532" s="11">
        <f>SUBTOTAL(3,_xlfn.SINGLE(tbl_pros[RowId]))</f>
        <v>1</v>
      </c>
    </row>
    <row r="533" spans="10:44">
      <c r="J533" s="4">
        <v>523</v>
      </c>
      <c r="K533" s="20" t="s">
        <v>48</v>
      </c>
      <c r="L533" s="2" t="s">
        <v>1128</v>
      </c>
      <c r="M533" s="4">
        <v>1</v>
      </c>
      <c r="N533" s="4" t="s">
        <v>1129</v>
      </c>
      <c r="O533" s="21" t="str">
        <f t="shared" ref="O533:O551" si="11">HYPERLINK("obsidian://open?vault=o2&amp;file=How%20To%20Hide%20Wires%20Behind%20Wall%20-%20NO%20DRYWALL%20REPAIR%20NEEDED%20Hiding%20Wires.md","How To Hide Wires Behind Wall - NO DRYWALL REPAIR NEEDED Hiding Wires")</f>
        <v>How To Hide Wires Behind Wall - NO DRYWALL REPAIR NEEDED Hiding Wires</v>
      </c>
      <c r="P533" s="11" t="s">
        <v>175</v>
      </c>
      <c r="AR533" s="11">
        <f>SUBTOTAL(3,_xlfn.SINGLE(tbl_pros[RowId]))</f>
        <v>1</v>
      </c>
    </row>
    <row r="534" spans="10:44">
      <c r="J534" s="4">
        <v>524</v>
      </c>
      <c r="K534" s="20" t="s">
        <v>48</v>
      </c>
      <c r="L534" s="2" t="s">
        <v>1130</v>
      </c>
      <c r="M534" s="4">
        <v>1</v>
      </c>
      <c r="N534" s="4" t="s">
        <v>1131</v>
      </c>
      <c r="O534" s="21" t="str">
        <f t="shared" si="11"/>
        <v>How To Hide Wires Behind Wall - NO DRYWALL REPAIR NEEDED Hiding Wires</v>
      </c>
      <c r="P534" s="11" t="s">
        <v>175</v>
      </c>
      <c r="AR534" s="11">
        <f>SUBTOTAL(3,_xlfn.SINGLE(tbl_pros[RowId]))</f>
        <v>1</v>
      </c>
    </row>
    <row r="535" spans="10:44">
      <c r="J535" s="4">
        <v>525</v>
      </c>
      <c r="K535" s="20" t="s">
        <v>48</v>
      </c>
      <c r="L535" s="2" t="s">
        <v>1132</v>
      </c>
      <c r="M535" s="4">
        <v>1</v>
      </c>
      <c r="N535" s="4" t="s">
        <v>1133</v>
      </c>
      <c r="O535" s="21" t="str">
        <f t="shared" si="11"/>
        <v>How To Hide Wires Behind Wall - NO DRYWALL REPAIR NEEDED Hiding Wires</v>
      </c>
      <c r="P535" s="11" t="s">
        <v>175</v>
      </c>
      <c r="AR535" s="11">
        <f>SUBTOTAL(3,_xlfn.SINGLE(tbl_pros[RowId]))</f>
        <v>1</v>
      </c>
    </row>
    <row r="536" spans="10:44">
      <c r="J536" s="4">
        <v>526</v>
      </c>
      <c r="K536" s="20" t="s">
        <v>48</v>
      </c>
      <c r="L536" s="2" t="s">
        <v>1134</v>
      </c>
      <c r="M536" s="4">
        <v>1</v>
      </c>
      <c r="N536" s="4" t="s">
        <v>1135</v>
      </c>
      <c r="O536" s="21" t="str">
        <f t="shared" si="11"/>
        <v>How To Hide Wires Behind Wall - NO DRYWALL REPAIR NEEDED Hiding Wires</v>
      </c>
      <c r="P536" s="11" t="s">
        <v>175</v>
      </c>
      <c r="AR536" s="11">
        <f>SUBTOTAL(3,_xlfn.SINGLE(tbl_pros[RowId]))</f>
        <v>1</v>
      </c>
    </row>
    <row r="537" spans="10:44">
      <c r="J537" s="4">
        <v>527</v>
      </c>
      <c r="K537" s="20" t="s">
        <v>48</v>
      </c>
      <c r="L537" s="2" t="s">
        <v>1136</v>
      </c>
      <c r="M537" s="4">
        <v>1</v>
      </c>
      <c r="N537" s="4" t="s">
        <v>1137</v>
      </c>
      <c r="O537" s="21" t="str">
        <f t="shared" si="11"/>
        <v>How To Hide Wires Behind Wall - NO DRYWALL REPAIR NEEDED Hiding Wires</v>
      </c>
      <c r="P537" s="11" t="s">
        <v>175</v>
      </c>
      <c r="AR537" s="11">
        <f>SUBTOTAL(3,_xlfn.SINGLE(tbl_pros[RowId]))</f>
        <v>1</v>
      </c>
    </row>
    <row r="538" spans="10:44">
      <c r="J538" s="4">
        <v>528</v>
      </c>
      <c r="K538" s="20" t="s">
        <v>48</v>
      </c>
      <c r="L538" s="2" t="s">
        <v>1138</v>
      </c>
      <c r="M538" s="4">
        <v>1</v>
      </c>
      <c r="N538" s="4" t="s">
        <v>1139</v>
      </c>
      <c r="O538" s="21" t="str">
        <f t="shared" si="11"/>
        <v>How To Hide Wires Behind Wall - NO DRYWALL REPAIR NEEDED Hiding Wires</v>
      </c>
      <c r="P538" s="11" t="s">
        <v>175</v>
      </c>
      <c r="AR538" s="11">
        <f>SUBTOTAL(3,_xlfn.SINGLE(tbl_pros[RowId]))</f>
        <v>1</v>
      </c>
    </row>
    <row r="539" spans="10:44">
      <c r="J539" s="4">
        <v>529</v>
      </c>
      <c r="K539" s="20" t="s">
        <v>48</v>
      </c>
      <c r="L539" s="2" t="s">
        <v>1140</v>
      </c>
      <c r="M539" s="4">
        <v>1</v>
      </c>
      <c r="N539" s="4" t="s">
        <v>1141</v>
      </c>
      <c r="O539" s="21" t="str">
        <f t="shared" si="11"/>
        <v>How To Hide Wires Behind Wall - NO DRYWALL REPAIR NEEDED Hiding Wires</v>
      </c>
      <c r="P539" s="11" t="s">
        <v>175</v>
      </c>
      <c r="AR539" s="11">
        <f>SUBTOTAL(3,_xlfn.SINGLE(tbl_pros[RowId]))</f>
        <v>1</v>
      </c>
    </row>
    <row r="540" spans="10:44">
      <c r="J540" s="4">
        <v>530</v>
      </c>
      <c r="K540" s="20" t="s">
        <v>48</v>
      </c>
      <c r="L540" s="2" t="s">
        <v>1142</v>
      </c>
      <c r="M540" s="4">
        <v>1</v>
      </c>
      <c r="N540" s="4" t="s">
        <v>1143</v>
      </c>
      <c r="O540" s="21" t="str">
        <f t="shared" si="11"/>
        <v>How To Hide Wires Behind Wall - NO DRYWALL REPAIR NEEDED Hiding Wires</v>
      </c>
      <c r="P540" s="11" t="s">
        <v>175</v>
      </c>
      <c r="AR540" s="11">
        <f>SUBTOTAL(3,_xlfn.SINGLE(tbl_pros[RowId]))</f>
        <v>1</v>
      </c>
    </row>
    <row r="541" spans="10:44">
      <c r="J541" s="4">
        <v>531</v>
      </c>
      <c r="K541" s="20" t="s">
        <v>48</v>
      </c>
      <c r="L541" s="2" t="s">
        <v>1144</v>
      </c>
      <c r="M541" s="4">
        <v>1</v>
      </c>
      <c r="N541" s="4" t="s">
        <v>1145</v>
      </c>
      <c r="O541" s="21" t="str">
        <f t="shared" si="11"/>
        <v>How To Hide Wires Behind Wall - NO DRYWALL REPAIR NEEDED Hiding Wires</v>
      </c>
      <c r="P541" s="11" t="s">
        <v>175</v>
      </c>
      <c r="AR541" s="11">
        <f>SUBTOTAL(3,_xlfn.SINGLE(tbl_pros[RowId]))</f>
        <v>1</v>
      </c>
    </row>
    <row r="542" spans="10:44">
      <c r="J542" s="4">
        <v>532</v>
      </c>
      <c r="K542" s="20" t="s">
        <v>48</v>
      </c>
      <c r="L542" s="2" t="s">
        <v>1146</v>
      </c>
      <c r="M542" s="4">
        <v>1</v>
      </c>
      <c r="N542" s="4" t="s">
        <v>1147</v>
      </c>
      <c r="O542" s="21" t="str">
        <f t="shared" si="11"/>
        <v>How To Hide Wires Behind Wall - NO DRYWALL REPAIR NEEDED Hiding Wires</v>
      </c>
      <c r="P542" s="11" t="s">
        <v>175</v>
      </c>
      <c r="AR542" s="11">
        <f>SUBTOTAL(3,_xlfn.SINGLE(tbl_pros[RowId]))</f>
        <v>1</v>
      </c>
    </row>
    <row r="543" spans="10:44">
      <c r="J543" s="4">
        <v>533</v>
      </c>
      <c r="K543" s="20" t="s">
        <v>48</v>
      </c>
      <c r="L543" s="2" t="s">
        <v>1148</v>
      </c>
      <c r="M543" s="4">
        <v>1</v>
      </c>
      <c r="N543" s="4" t="s">
        <v>1149</v>
      </c>
      <c r="O543" s="21" t="str">
        <f t="shared" si="11"/>
        <v>How To Hide Wires Behind Wall - NO DRYWALL REPAIR NEEDED Hiding Wires</v>
      </c>
      <c r="P543" s="11" t="s">
        <v>175</v>
      </c>
      <c r="AR543" s="11">
        <f>SUBTOTAL(3,_xlfn.SINGLE(tbl_pros[RowId]))</f>
        <v>1</v>
      </c>
    </row>
    <row r="544" spans="10:44">
      <c r="J544" s="4">
        <v>534</v>
      </c>
      <c r="K544" s="20" t="s">
        <v>48</v>
      </c>
      <c r="L544" s="2" t="s">
        <v>1150</v>
      </c>
      <c r="M544" s="4">
        <v>1</v>
      </c>
      <c r="N544" s="4" t="s">
        <v>1151</v>
      </c>
      <c r="O544" s="21" t="str">
        <f t="shared" si="11"/>
        <v>How To Hide Wires Behind Wall - NO DRYWALL REPAIR NEEDED Hiding Wires</v>
      </c>
      <c r="P544" s="11" t="s">
        <v>175</v>
      </c>
      <c r="AR544" s="11">
        <f>SUBTOTAL(3,_xlfn.SINGLE(tbl_pros[RowId]))</f>
        <v>1</v>
      </c>
    </row>
    <row r="545" spans="10:44">
      <c r="J545" s="4">
        <v>535</v>
      </c>
      <c r="K545" s="20" t="s">
        <v>48</v>
      </c>
      <c r="L545" s="2" t="s">
        <v>1152</v>
      </c>
      <c r="M545" s="4">
        <v>1</v>
      </c>
      <c r="N545" s="4" t="s">
        <v>1153</v>
      </c>
      <c r="O545" s="21" t="str">
        <f t="shared" si="11"/>
        <v>How To Hide Wires Behind Wall - NO DRYWALL REPAIR NEEDED Hiding Wires</v>
      </c>
      <c r="P545" s="11" t="s">
        <v>175</v>
      </c>
      <c r="AR545" s="11">
        <f>SUBTOTAL(3,_xlfn.SINGLE(tbl_pros[RowId]))</f>
        <v>1</v>
      </c>
    </row>
    <row r="546" spans="10:44">
      <c r="J546" s="4">
        <v>536</v>
      </c>
      <c r="K546" s="20" t="s">
        <v>48</v>
      </c>
      <c r="L546" s="2" t="s">
        <v>1154</v>
      </c>
      <c r="M546" s="4">
        <v>1</v>
      </c>
      <c r="N546" s="4" t="s">
        <v>1155</v>
      </c>
      <c r="O546" s="21" t="str">
        <f t="shared" si="11"/>
        <v>How To Hide Wires Behind Wall - NO DRYWALL REPAIR NEEDED Hiding Wires</v>
      </c>
      <c r="P546" s="11" t="s">
        <v>175</v>
      </c>
      <c r="AR546" s="11">
        <f>SUBTOTAL(3,_xlfn.SINGLE(tbl_pros[RowId]))</f>
        <v>1</v>
      </c>
    </row>
    <row r="547" spans="10:44">
      <c r="J547" s="4">
        <v>537</v>
      </c>
      <c r="K547" s="20" t="s">
        <v>48</v>
      </c>
      <c r="L547" s="2" t="s">
        <v>1156</v>
      </c>
      <c r="M547" s="4">
        <v>1</v>
      </c>
      <c r="N547" s="4" t="s">
        <v>1157</v>
      </c>
      <c r="O547" s="21" t="str">
        <f t="shared" si="11"/>
        <v>How To Hide Wires Behind Wall - NO DRYWALL REPAIR NEEDED Hiding Wires</v>
      </c>
      <c r="P547" s="11" t="s">
        <v>175</v>
      </c>
      <c r="AR547" s="11">
        <f>SUBTOTAL(3,_xlfn.SINGLE(tbl_pros[RowId]))</f>
        <v>1</v>
      </c>
    </row>
    <row r="548" spans="10:44">
      <c r="J548" s="4">
        <v>538</v>
      </c>
      <c r="K548" s="20" t="s">
        <v>48</v>
      </c>
      <c r="L548" s="2" t="s">
        <v>1158</v>
      </c>
      <c r="M548" s="4">
        <v>1</v>
      </c>
      <c r="N548" s="4" t="s">
        <v>1159</v>
      </c>
      <c r="O548" s="21" t="str">
        <f t="shared" si="11"/>
        <v>How To Hide Wires Behind Wall - NO DRYWALL REPAIR NEEDED Hiding Wires</v>
      </c>
      <c r="P548" s="11" t="s">
        <v>175</v>
      </c>
      <c r="AR548" s="11">
        <f>SUBTOTAL(3,_xlfn.SINGLE(tbl_pros[RowId]))</f>
        <v>1</v>
      </c>
    </row>
    <row r="549" spans="10:44">
      <c r="J549" s="4">
        <v>539</v>
      </c>
      <c r="K549" s="20" t="s">
        <v>48</v>
      </c>
      <c r="L549" s="2" t="s">
        <v>1160</v>
      </c>
      <c r="M549" s="4">
        <v>1</v>
      </c>
      <c r="N549" s="4" t="s">
        <v>1161</v>
      </c>
      <c r="O549" s="21" t="str">
        <f t="shared" si="11"/>
        <v>How To Hide Wires Behind Wall - NO DRYWALL REPAIR NEEDED Hiding Wires</v>
      </c>
      <c r="P549" s="11" t="s">
        <v>175</v>
      </c>
      <c r="AR549" s="11">
        <f>SUBTOTAL(3,_xlfn.SINGLE(tbl_pros[RowId]))</f>
        <v>1</v>
      </c>
    </row>
    <row r="550" spans="10:44">
      <c r="J550" s="4">
        <v>540</v>
      </c>
      <c r="K550" s="20" t="s">
        <v>48</v>
      </c>
      <c r="L550" s="2" t="s">
        <v>1162</v>
      </c>
      <c r="M550" s="4">
        <v>1</v>
      </c>
      <c r="N550" s="4" t="s">
        <v>1163</v>
      </c>
      <c r="O550" s="21" t="str">
        <f t="shared" si="11"/>
        <v>How To Hide Wires Behind Wall - NO DRYWALL REPAIR NEEDED Hiding Wires</v>
      </c>
      <c r="P550" s="11" t="s">
        <v>175</v>
      </c>
      <c r="AR550" s="11">
        <f>SUBTOTAL(3,_xlfn.SINGLE(tbl_pros[RowId]))</f>
        <v>1</v>
      </c>
    </row>
    <row r="551" spans="10:44">
      <c r="J551" s="4">
        <v>541</v>
      </c>
      <c r="K551" s="20" t="s">
        <v>48</v>
      </c>
      <c r="L551" s="2" t="s">
        <v>1164</v>
      </c>
      <c r="M551" s="4">
        <v>1</v>
      </c>
      <c r="N551" s="4" t="s">
        <v>1165</v>
      </c>
      <c r="O551" s="21" t="str">
        <f t="shared" si="11"/>
        <v>How To Hide Wires Behind Wall - NO DRYWALL REPAIR NEEDED Hiding Wires</v>
      </c>
      <c r="P551" s="11" t="s">
        <v>175</v>
      </c>
      <c r="AR551" s="11">
        <f>SUBTOTAL(3,_xlfn.SINGLE(tbl_pros[RowId]))</f>
        <v>1</v>
      </c>
    </row>
    <row r="552" spans="10:44">
      <c r="J552" s="4">
        <v>542</v>
      </c>
      <c r="K552" s="20" t="s">
        <v>48</v>
      </c>
      <c r="L552" s="2" t="s">
        <v>1166</v>
      </c>
      <c r="M552" s="4">
        <v>1</v>
      </c>
      <c r="N552" s="4" t="s">
        <v>1167</v>
      </c>
      <c r="O552" s="21" t="str">
        <f t="shared" ref="O552:O570" si="12">HYPERLINK("obsidian://open?vault=o2&amp;file=I%20Made%20an%20App%20that%20KEEPS%20Windows%2011%20Debloated%20%26%20Optimized.md","I Made an App that KEEPS Windows 11 Debloated &amp; Optimized")</f>
        <v>I Made an App that KEEPS Windows 11 Debloated &amp; Optimized</v>
      </c>
      <c r="P552" s="11" t="s">
        <v>175</v>
      </c>
      <c r="AR552" s="11">
        <f>SUBTOTAL(3,_xlfn.SINGLE(tbl_pros[RowId]))</f>
        <v>1</v>
      </c>
    </row>
    <row r="553" spans="10:44">
      <c r="J553" s="4">
        <v>543</v>
      </c>
      <c r="K553" s="20" t="s">
        <v>48</v>
      </c>
      <c r="L553" s="2" t="s">
        <v>1168</v>
      </c>
      <c r="M553" s="4">
        <v>1</v>
      </c>
      <c r="N553" s="4" t="s">
        <v>1169</v>
      </c>
      <c r="O553" s="21" t="str">
        <f t="shared" si="12"/>
        <v>I Made an App that KEEPS Windows 11 Debloated &amp; Optimized</v>
      </c>
      <c r="P553" s="11" t="s">
        <v>175</v>
      </c>
      <c r="AR553" s="11">
        <f>SUBTOTAL(3,_xlfn.SINGLE(tbl_pros[RowId]))</f>
        <v>1</v>
      </c>
    </row>
    <row r="554" spans="10:44">
      <c r="J554" s="4">
        <v>544</v>
      </c>
      <c r="K554" s="20" t="s">
        <v>48</v>
      </c>
      <c r="L554" s="2" t="s">
        <v>1170</v>
      </c>
      <c r="M554" s="4">
        <v>1</v>
      </c>
      <c r="N554" s="4" t="s">
        <v>1171</v>
      </c>
      <c r="O554" s="21" t="str">
        <f t="shared" si="12"/>
        <v>I Made an App that KEEPS Windows 11 Debloated &amp; Optimized</v>
      </c>
      <c r="P554" s="11" t="s">
        <v>175</v>
      </c>
      <c r="AR554" s="11">
        <f>SUBTOTAL(3,_xlfn.SINGLE(tbl_pros[RowId]))</f>
        <v>1</v>
      </c>
    </row>
    <row r="555" spans="10:44">
      <c r="J555" s="4">
        <v>545</v>
      </c>
      <c r="K555" s="20" t="s">
        <v>48</v>
      </c>
      <c r="L555" s="2" t="s">
        <v>1172</v>
      </c>
      <c r="M555" s="4">
        <v>1</v>
      </c>
      <c r="N555" s="4" t="s">
        <v>1173</v>
      </c>
      <c r="O555" s="21" t="str">
        <f t="shared" si="12"/>
        <v>I Made an App that KEEPS Windows 11 Debloated &amp; Optimized</v>
      </c>
      <c r="P555" s="11" t="s">
        <v>175</v>
      </c>
      <c r="AR555" s="11">
        <f>SUBTOTAL(3,_xlfn.SINGLE(tbl_pros[RowId]))</f>
        <v>1</v>
      </c>
    </row>
    <row r="556" spans="10:44">
      <c r="J556" s="4">
        <v>546</v>
      </c>
      <c r="K556" s="20" t="s">
        <v>48</v>
      </c>
      <c r="L556" s="2" t="s">
        <v>1174</v>
      </c>
      <c r="M556" s="4">
        <v>1</v>
      </c>
      <c r="N556" s="4" t="s">
        <v>1175</v>
      </c>
      <c r="O556" s="21" t="str">
        <f t="shared" si="12"/>
        <v>I Made an App that KEEPS Windows 11 Debloated &amp; Optimized</v>
      </c>
      <c r="P556" s="11" t="s">
        <v>175</v>
      </c>
      <c r="AR556" s="11">
        <f>SUBTOTAL(3,_xlfn.SINGLE(tbl_pros[RowId]))</f>
        <v>1</v>
      </c>
    </row>
    <row r="557" spans="10:44">
      <c r="J557" s="4">
        <v>547</v>
      </c>
      <c r="K557" s="20" t="s">
        <v>48</v>
      </c>
      <c r="L557" s="2" t="s">
        <v>1176</v>
      </c>
      <c r="M557" s="4">
        <v>1</v>
      </c>
      <c r="N557" s="4" t="s">
        <v>1177</v>
      </c>
      <c r="O557" s="21" t="str">
        <f t="shared" si="12"/>
        <v>I Made an App that KEEPS Windows 11 Debloated &amp; Optimized</v>
      </c>
      <c r="P557" s="11" t="s">
        <v>175</v>
      </c>
      <c r="AR557" s="11">
        <f>SUBTOTAL(3,_xlfn.SINGLE(tbl_pros[RowId]))</f>
        <v>1</v>
      </c>
    </row>
    <row r="558" spans="10:44">
      <c r="J558" s="4">
        <v>548</v>
      </c>
      <c r="K558" s="20" t="s">
        <v>48</v>
      </c>
      <c r="L558" s="2" t="s">
        <v>1178</v>
      </c>
      <c r="M558" s="4">
        <v>1</v>
      </c>
      <c r="N558" s="4" t="s">
        <v>1179</v>
      </c>
      <c r="O558" s="21" t="str">
        <f t="shared" si="12"/>
        <v>I Made an App that KEEPS Windows 11 Debloated &amp; Optimized</v>
      </c>
      <c r="P558" s="11" t="s">
        <v>175</v>
      </c>
      <c r="AR558" s="11">
        <f>SUBTOTAL(3,_xlfn.SINGLE(tbl_pros[RowId]))</f>
        <v>1</v>
      </c>
    </row>
    <row r="559" spans="10:44">
      <c r="J559" s="4">
        <v>549</v>
      </c>
      <c r="K559" s="20" t="s">
        <v>48</v>
      </c>
      <c r="L559" s="2" t="s">
        <v>1180</v>
      </c>
      <c r="M559" s="4">
        <v>1</v>
      </c>
      <c r="N559" s="4" t="s">
        <v>1181</v>
      </c>
      <c r="O559" s="21" t="str">
        <f t="shared" si="12"/>
        <v>I Made an App that KEEPS Windows 11 Debloated &amp; Optimized</v>
      </c>
      <c r="P559" s="11" t="s">
        <v>175</v>
      </c>
      <c r="AR559" s="11">
        <f>SUBTOTAL(3,_xlfn.SINGLE(tbl_pros[RowId]))</f>
        <v>1</v>
      </c>
    </row>
    <row r="560" spans="10:44">
      <c r="J560" s="4">
        <v>550</v>
      </c>
      <c r="K560" s="20" t="s">
        <v>48</v>
      </c>
      <c r="L560" s="2" t="s">
        <v>1182</v>
      </c>
      <c r="M560" s="4">
        <v>1</v>
      </c>
      <c r="N560" s="4" t="s">
        <v>1183</v>
      </c>
      <c r="O560" s="21" t="str">
        <f t="shared" si="12"/>
        <v>I Made an App that KEEPS Windows 11 Debloated &amp; Optimized</v>
      </c>
      <c r="P560" s="11" t="s">
        <v>175</v>
      </c>
      <c r="AR560" s="11">
        <f>SUBTOTAL(3,_xlfn.SINGLE(tbl_pros[RowId]))</f>
        <v>1</v>
      </c>
    </row>
    <row r="561" spans="10:44">
      <c r="J561" s="4">
        <v>551</v>
      </c>
      <c r="K561" s="20" t="s">
        <v>48</v>
      </c>
      <c r="L561" s="2" t="s">
        <v>1184</v>
      </c>
      <c r="M561" s="4">
        <v>1</v>
      </c>
      <c r="N561" s="4" t="s">
        <v>1185</v>
      </c>
      <c r="O561" s="21" t="str">
        <f t="shared" si="12"/>
        <v>I Made an App that KEEPS Windows 11 Debloated &amp; Optimized</v>
      </c>
      <c r="P561" s="11" t="s">
        <v>175</v>
      </c>
      <c r="AR561" s="11">
        <f>SUBTOTAL(3,_xlfn.SINGLE(tbl_pros[RowId]))</f>
        <v>1</v>
      </c>
    </row>
    <row r="562" spans="10:44">
      <c r="J562" s="4">
        <v>552</v>
      </c>
      <c r="K562" s="20" t="s">
        <v>48</v>
      </c>
      <c r="L562" s="2" t="s">
        <v>1186</v>
      </c>
      <c r="M562" s="4">
        <v>1</v>
      </c>
      <c r="N562" s="4" t="s">
        <v>1187</v>
      </c>
      <c r="O562" s="21" t="str">
        <f t="shared" si="12"/>
        <v>I Made an App that KEEPS Windows 11 Debloated &amp; Optimized</v>
      </c>
      <c r="P562" s="11" t="s">
        <v>175</v>
      </c>
      <c r="AR562" s="11">
        <f>SUBTOTAL(3,_xlfn.SINGLE(tbl_pros[RowId]))</f>
        <v>1</v>
      </c>
    </row>
    <row r="563" spans="10:44">
      <c r="J563" s="4">
        <v>553</v>
      </c>
      <c r="K563" s="20" t="s">
        <v>48</v>
      </c>
      <c r="L563" s="2" t="s">
        <v>1188</v>
      </c>
      <c r="M563" s="4">
        <v>1</v>
      </c>
      <c r="N563" s="4" t="s">
        <v>1189</v>
      </c>
      <c r="O563" s="21" t="str">
        <f t="shared" si="12"/>
        <v>I Made an App that KEEPS Windows 11 Debloated &amp; Optimized</v>
      </c>
      <c r="P563" s="11" t="s">
        <v>175</v>
      </c>
      <c r="AR563" s="11">
        <f>SUBTOTAL(3,_xlfn.SINGLE(tbl_pros[RowId]))</f>
        <v>1</v>
      </c>
    </row>
    <row r="564" spans="10:44">
      <c r="J564" s="4">
        <v>554</v>
      </c>
      <c r="K564" s="20" t="s">
        <v>48</v>
      </c>
      <c r="L564" s="2" t="s">
        <v>1190</v>
      </c>
      <c r="M564" s="4">
        <v>1</v>
      </c>
      <c r="N564" s="4" t="s">
        <v>1191</v>
      </c>
      <c r="O564" s="21" t="str">
        <f t="shared" si="12"/>
        <v>I Made an App that KEEPS Windows 11 Debloated &amp; Optimized</v>
      </c>
      <c r="P564" s="11" t="s">
        <v>175</v>
      </c>
      <c r="AR564" s="11">
        <f>SUBTOTAL(3,_xlfn.SINGLE(tbl_pros[RowId]))</f>
        <v>1</v>
      </c>
    </row>
    <row r="565" spans="10:44">
      <c r="J565" s="4">
        <v>555</v>
      </c>
      <c r="K565" s="20" t="s">
        <v>48</v>
      </c>
      <c r="L565" s="2" t="s">
        <v>1192</v>
      </c>
      <c r="M565" s="4">
        <v>1</v>
      </c>
      <c r="N565" s="4" t="s">
        <v>1193</v>
      </c>
      <c r="O565" s="21" t="str">
        <f t="shared" si="12"/>
        <v>I Made an App that KEEPS Windows 11 Debloated &amp; Optimized</v>
      </c>
      <c r="P565" s="11" t="s">
        <v>175</v>
      </c>
      <c r="AR565" s="11">
        <f>SUBTOTAL(3,_xlfn.SINGLE(tbl_pros[RowId]))</f>
        <v>1</v>
      </c>
    </row>
    <row r="566" spans="10:44">
      <c r="J566" s="4">
        <v>556</v>
      </c>
      <c r="K566" s="20" t="s">
        <v>48</v>
      </c>
      <c r="L566" s="2" t="s">
        <v>1194</v>
      </c>
      <c r="M566" s="4">
        <v>1</v>
      </c>
      <c r="N566" s="4" t="s">
        <v>1195</v>
      </c>
      <c r="O566" s="21" t="str">
        <f t="shared" si="12"/>
        <v>I Made an App that KEEPS Windows 11 Debloated &amp; Optimized</v>
      </c>
      <c r="P566" s="11" t="s">
        <v>175</v>
      </c>
      <c r="AR566" s="11">
        <f>SUBTOTAL(3,_xlfn.SINGLE(tbl_pros[RowId]))</f>
        <v>1</v>
      </c>
    </row>
    <row r="567" spans="10:44">
      <c r="J567" s="4">
        <v>557</v>
      </c>
      <c r="K567" s="20" t="s">
        <v>48</v>
      </c>
      <c r="L567" s="2" t="s">
        <v>1196</v>
      </c>
      <c r="M567" s="4">
        <v>1</v>
      </c>
      <c r="N567" s="4" t="s">
        <v>1197</v>
      </c>
      <c r="O567" s="21" t="str">
        <f t="shared" si="12"/>
        <v>I Made an App that KEEPS Windows 11 Debloated &amp; Optimized</v>
      </c>
      <c r="P567" s="11" t="s">
        <v>175</v>
      </c>
      <c r="AR567" s="11">
        <f>SUBTOTAL(3,_xlfn.SINGLE(tbl_pros[RowId]))</f>
        <v>1</v>
      </c>
    </row>
    <row r="568" spans="10:44">
      <c r="J568" s="4">
        <v>558</v>
      </c>
      <c r="K568" s="20" t="s">
        <v>48</v>
      </c>
      <c r="L568" s="2" t="s">
        <v>1198</v>
      </c>
      <c r="M568" s="4">
        <v>1</v>
      </c>
      <c r="N568" s="4" t="s">
        <v>1199</v>
      </c>
      <c r="O568" s="21" t="str">
        <f t="shared" si="12"/>
        <v>I Made an App that KEEPS Windows 11 Debloated &amp; Optimized</v>
      </c>
      <c r="P568" s="11" t="s">
        <v>175</v>
      </c>
      <c r="AR568" s="11">
        <f>SUBTOTAL(3,_xlfn.SINGLE(tbl_pros[RowId]))</f>
        <v>1</v>
      </c>
    </row>
    <row r="569" spans="10:44">
      <c r="J569" s="4">
        <v>559</v>
      </c>
      <c r="K569" s="20" t="s">
        <v>48</v>
      </c>
      <c r="L569" s="2" t="s">
        <v>1200</v>
      </c>
      <c r="M569" s="4">
        <v>1</v>
      </c>
      <c r="N569" s="4" t="s">
        <v>1201</v>
      </c>
      <c r="O569" s="21" t="str">
        <f t="shared" si="12"/>
        <v>I Made an App that KEEPS Windows 11 Debloated &amp; Optimized</v>
      </c>
      <c r="P569" s="11" t="s">
        <v>175</v>
      </c>
      <c r="AR569" s="11">
        <f>SUBTOTAL(3,_xlfn.SINGLE(tbl_pros[RowId]))</f>
        <v>1</v>
      </c>
    </row>
    <row r="570" spans="10:44">
      <c r="J570" s="4">
        <v>560</v>
      </c>
      <c r="K570" s="20" t="s">
        <v>48</v>
      </c>
      <c r="L570" s="2" t="s">
        <v>1202</v>
      </c>
      <c r="M570" s="4">
        <v>1</v>
      </c>
      <c r="N570" s="4" t="s">
        <v>1203</v>
      </c>
      <c r="O570" s="21" t="str">
        <f t="shared" si="12"/>
        <v>I Made an App that KEEPS Windows 11 Debloated &amp; Optimized</v>
      </c>
      <c r="P570" s="11" t="s">
        <v>175</v>
      </c>
      <c r="AR570" s="11">
        <f>SUBTOTAL(3,_xlfn.SINGLE(tbl_pros[RowId]))</f>
        <v>1</v>
      </c>
    </row>
    <row r="571" spans="10:44">
      <c r="J571" s="4">
        <v>561</v>
      </c>
      <c r="K571" s="20" t="s">
        <v>48</v>
      </c>
      <c r="L571" s="2" t="s">
        <v>1204</v>
      </c>
      <c r="M571" s="4">
        <v>1</v>
      </c>
      <c r="N571" s="4" t="s">
        <v>1205</v>
      </c>
      <c r="O571" s="21" t="str">
        <f t="shared" ref="O571:O581" si="13">HYPERLINK("obsidian://open?vault=o2&amp;file=My%20Clean%2C%20Modern%20Desk%20Setup%20for%20Productivity%20%26%20Creativity.md","My Clean, Modern Desk Setup for Productivity &amp; Creativity")</f>
        <v>My Clean, Modern Desk Setup for Productivity &amp; Creativity</v>
      </c>
      <c r="P571" s="11" t="s">
        <v>175</v>
      </c>
      <c r="AR571" s="11">
        <f>SUBTOTAL(3,_xlfn.SINGLE(tbl_pros[RowId]))</f>
        <v>1</v>
      </c>
    </row>
    <row r="572" spans="10:44">
      <c r="J572" s="4">
        <v>562</v>
      </c>
      <c r="K572" s="20" t="s">
        <v>48</v>
      </c>
      <c r="L572" s="2" t="s">
        <v>1206</v>
      </c>
      <c r="M572" s="4">
        <v>1</v>
      </c>
      <c r="N572" s="4" t="s">
        <v>1207</v>
      </c>
      <c r="O572" s="21" t="str">
        <f t="shared" si="13"/>
        <v>My Clean, Modern Desk Setup for Productivity &amp; Creativity</v>
      </c>
      <c r="P572" s="11" t="s">
        <v>175</v>
      </c>
      <c r="AR572" s="11">
        <f>SUBTOTAL(3,_xlfn.SINGLE(tbl_pros[RowId]))</f>
        <v>1</v>
      </c>
    </row>
    <row r="573" spans="10:44">
      <c r="J573" s="4">
        <v>563</v>
      </c>
      <c r="K573" s="20" t="s">
        <v>48</v>
      </c>
      <c r="L573" s="2" t="s">
        <v>1208</v>
      </c>
      <c r="M573" s="4">
        <v>1</v>
      </c>
      <c r="N573" s="4" t="s">
        <v>1209</v>
      </c>
      <c r="O573" s="21" t="str">
        <f t="shared" si="13"/>
        <v>My Clean, Modern Desk Setup for Productivity &amp; Creativity</v>
      </c>
      <c r="P573" s="11" t="s">
        <v>175</v>
      </c>
      <c r="AR573" s="11">
        <f>SUBTOTAL(3,_xlfn.SINGLE(tbl_pros[RowId]))</f>
        <v>1</v>
      </c>
    </row>
    <row r="574" spans="10:44">
      <c r="J574" s="4">
        <v>564</v>
      </c>
      <c r="K574" s="20" t="s">
        <v>48</v>
      </c>
      <c r="L574" s="2" t="s">
        <v>1210</v>
      </c>
      <c r="M574" s="4">
        <v>1</v>
      </c>
      <c r="N574" s="4" t="s">
        <v>1211</v>
      </c>
      <c r="O574" s="21" t="str">
        <f t="shared" si="13"/>
        <v>My Clean, Modern Desk Setup for Productivity &amp; Creativity</v>
      </c>
      <c r="P574" s="11" t="s">
        <v>175</v>
      </c>
      <c r="AR574" s="11">
        <f>SUBTOTAL(3,_xlfn.SINGLE(tbl_pros[RowId]))</f>
        <v>1</v>
      </c>
    </row>
    <row r="575" spans="10:44">
      <c r="J575" s="4">
        <v>565</v>
      </c>
      <c r="K575" s="20" t="s">
        <v>48</v>
      </c>
      <c r="L575" s="2" t="s">
        <v>1212</v>
      </c>
      <c r="M575" s="4">
        <v>1</v>
      </c>
      <c r="N575" s="4" t="s">
        <v>1213</v>
      </c>
      <c r="O575" s="21" t="str">
        <f t="shared" si="13"/>
        <v>My Clean, Modern Desk Setup for Productivity &amp; Creativity</v>
      </c>
      <c r="P575" s="11" t="s">
        <v>175</v>
      </c>
      <c r="AR575" s="11">
        <f>SUBTOTAL(3,_xlfn.SINGLE(tbl_pros[RowId]))</f>
        <v>1</v>
      </c>
    </row>
    <row r="576" spans="10:44">
      <c r="J576" s="4">
        <v>566</v>
      </c>
      <c r="K576" s="20" t="s">
        <v>48</v>
      </c>
      <c r="L576" s="2" t="s">
        <v>1214</v>
      </c>
      <c r="M576" s="4">
        <v>1</v>
      </c>
      <c r="N576" s="4" t="s">
        <v>1215</v>
      </c>
      <c r="O576" s="21" t="str">
        <f t="shared" si="13"/>
        <v>My Clean, Modern Desk Setup for Productivity &amp; Creativity</v>
      </c>
      <c r="P576" s="11" t="s">
        <v>175</v>
      </c>
      <c r="AR576" s="11">
        <f>SUBTOTAL(3,_xlfn.SINGLE(tbl_pros[RowId]))</f>
        <v>1</v>
      </c>
    </row>
    <row r="577" spans="10:44">
      <c r="J577" s="4">
        <v>567</v>
      </c>
      <c r="K577" s="20" t="s">
        <v>48</v>
      </c>
      <c r="L577" s="2" t="s">
        <v>1216</v>
      </c>
      <c r="M577" s="4">
        <v>1</v>
      </c>
      <c r="N577" s="4" t="s">
        <v>1217</v>
      </c>
      <c r="O577" s="21" t="str">
        <f t="shared" si="13"/>
        <v>My Clean, Modern Desk Setup for Productivity &amp; Creativity</v>
      </c>
      <c r="P577" s="11" t="s">
        <v>175</v>
      </c>
      <c r="AR577" s="11">
        <f>SUBTOTAL(3,_xlfn.SINGLE(tbl_pros[RowId]))</f>
        <v>1</v>
      </c>
    </row>
    <row r="578" spans="10:44">
      <c r="J578" s="4">
        <v>568</v>
      </c>
      <c r="K578" s="20" t="s">
        <v>48</v>
      </c>
      <c r="L578" s="2" t="s">
        <v>1218</v>
      </c>
      <c r="M578" s="4">
        <v>1</v>
      </c>
      <c r="N578" s="4" t="s">
        <v>1219</v>
      </c>
      <c r="O578" s="21" t="str">
        <f t="shared" si="13"/>
        <v>My Clean, Modern Desk Setup for Productivity &amp; Creativity</v>
      </c>
      <c r="P578" s="11" t="s">
        <v>175</v>
      </c>
      <c r="AR578" s="11">
        <f>SUBTOTAL(3,_xlfn.SINGLE(tbl_pros[RowId]))</f>
        <v>1</v>
      </c>
    </row>
    <row r="579" spans="10:44">
      <c r="J579" s="4">
        <v>569</v>
      </c>
      <c r="K579" s="20" t="s">
        <v>48</v>
      </c>
      <c r="L579" s="2" t="s">
        <v>1220</v>
      </c>
      <c r="M579" s="4">
        <v>1</v>
      </c>
      <c r="N579" s="4" t="s">
        <v>1221</v>
      </c>
      <c r="O579" s="21" t="str">
        <f t="shared" si="13"/>
        <v>My Clean, Modern Desk Setup for Productivity &amp; Creativity</v>
      </c>
      <c r="P579" s="11" t="s">
        <v>175</v>
      </c>
      <c r="AR579" s="11">
        <f>SUBTOTAL(3,_xlfn.SINGLE(tbl_pros[RowId]))</f>
        <v>1</v>
      </c>
    </row>
    <row r="580" spans="10:44">
      <c r="J580" s="4">
        <v>570</v>
      </c>
      <c r="K580" s="20" t="s">
        <v>48</v>
      </c>
      <c r="L580" s="2" t="s">
        <v>1222</v>
      </c>
      <c r="M580" s="4">
        <v>1</v>
      </c>
      <c r="N580" s="4" t="s">
        <v>1223</v>
      </c>
      <c r="O580" s="21" t="str">
        <f t="shared" si="13"/>
        <v>My Clean, Modern Desk Setup for Productivity &amp; Creativity</v>
      </c>
      <c r="P580" s="11" t="s">
        <v>175</v>
      </c>
      <c r="AR580" s="11">
        <f>SUBTOTAL(3,_xlfn.SINGLE(tbl_pros[RowId]))</f>
        <v>1</v>
      </c>
    </row>
    <row r="581" spans="10:44">
      <c r="J581" s="4">
        <v>571</v>
      </c>
      <c r="K581" s="20" t="s">
        <v>48</v>
      </c>
      <c r="L581" s="2" t="s">
        <v>1224</v>
      </c>
      <c r="M581" s="4">
        <v>1</v>
      </c>
      <c r="N581" s="4" t="s">
        <v>1225</v>
      </c>
      <c r="O581" s="21" t="str">
        <f t="shared" si="13"/>
        <v>My Clean, Modern Desk Setup for Productivity &amp; Creativity</v>
      </c>
      <c r="P581" s="11" t="s">
        <v>175</v>
      </c>
      <c r="AR581" s="11">
        <f>SUBTOTAL(3,_xlfn.SINGLE(tbl_pros[RowId]))</f>
        <v>1</v>
      </c>
    </row>
    <row r="582" spans="10:44">
      <c r="J582" s="4">
        <v>572</v>
      </c>
      <c r="K582" s="20" t="s">
        <v>48</v>
      </c>
      <c r="L582" s="2" t="s">
        <v>1226</v>
      </c>
      <c r="M582" s="4">
        <v>1</v>
      </c>
      <c r="N582" s="4" t="s">
        <v>1227</v>
      </c>
      <c r="O582" s="21" t="str">
        <f>HYPERLINK("obsidian://open?vault=o2&amp;file=The%20Perfect%20Diane%20Sauce%20-%20Chicken%20Diane%20%20Chef%20Jean-Pierre.md","The Perfect Diane Sauce - Chicken Diane  Chef Jean-Pierre")</f>
        <v>The Perfect Diane Sauce - Chicken Diane  Chef Jean-Pierre</v>
      </c>
      <c r="P582" s="11" t="s">
        <v>175</v>
      </c>
      <c r="AR582" s="11">
        <f>SUBTOTAL(3,_xlfn.SINGLE(tbl_pros[RowId]))</f>
        <v>1</v>
      </c>
    </row>
    <row r="583" spans="10:44">
      <c r="J583" s="4">
        <v>573</v>
      </c>
      <c r="K583" s="20" t="s">
        <v>48</v>
      </c>
      <c r="L583" s="2" t="s">
        <v>1228</v>
      </c>
      <c r="M583" s="4">
        <v>1</v>
      </c>
      <c r="N583" s="4" t="s">
        <v>1229</v>
      </c>
      <c r="O583" s="21" t="str">
        <f>HYPERLINK("obsidian://open?vault=o2&amp;file=The%20Perfect%20Diane%20Sauce%20-%20Chicken%20Diane%20%20Chef%20Jean-Pierre.md","The Perfect Diane Sauce - Chicken Diane  Chef Jean-Pierre")</f>
        <v>The Perfect Diane Sauce - Chicken Diane  Chef Jean-Pierre</v>
      </c>
      <c r="P583" s="11" t="s">
        <v>175</v>
      </c>
      <c r="AR583" s="11">
        <f>SUBTOTAL(3,_xlfn.SINGLE(tbl_pros[RowId]))</f>
        <v>1</v>
      </c>
    </row>
    <row r="584" spans="10:44">
      <c r="J584" s="4">
        <v>574</v>
      </c>
      <c r="K584" s="20" t="s">
        <v>48</v>
      </c>
      <c r="L584" s="2" t="s">
        <v>1230</v>
      </c>
      <c r="M584" s="4">
        <v>1</v>
      </c>
      <c r="N584" s="4" t="s">
        <v>1231</v>
      </c>
      <c r="O584" s="21" t="str">
        <f>HYPERLINK("obsidian://open?vault=o2&amp;file=The%20Perfect%20Diane%20Sauce%20-%20Chicken%20Diane%20%20Chef%20Jean-Pierre.md","The Perfect Diane Sauce - Chicken Diane  Chef Jean-Pierre")</f>
        <v>The Perfect Diane Sauce - Chicken Diane  Chef Jean-Pierre</v>
      </c>
      <c r="P584" s="11" t="s">
        <v>175</v>
      </c>
      <c r="AR584" s="11">
        <f>SUBTOTAL(3,_xlfn.SINGLE(tbl_pros[RowId]))</f>
        <v>1</v>
      </c>
    </row>
    <row r="585" spans="10:44">
      <c r="J585" s="4">
        <v>575</v>
      </c>
      <c r="K585" s="20" t="s">
        <v>48</v>
      </c>
      <c r="L585" s="2" t="s">
        <v>1232</v>
      </c>
      <c r="M585" s="4">
        <v>3</v>
      </c>
      <c r="N585" s="4" t="s">
        <v>1233</v>
      </c>
      <c r="O585" s="21" t="str">
        <f t="shared" ref="O585:O590" si="14">HYPERLINK("obsidian://open?vault=o2&amp;file=The%20Ultimate%20Cable%20Management%20Tier%20List.md","The Ultimate Cable Management Tier List")</f>
        <v>The Ultimate Cable Management Tier List</v>
      </c>
      <c r="P585" s="11" t="s">
        <v>175</v>
      </c>
      <c r="Q585" s="21" t="str">
        <f>HYPERLINK("obsidian://open?vault=o2&amp;file=Time%20to%20UNSUBSCRIBE%20from%20Disney%2B%2C%20Netflix%2C%20etc%21.md","Time to UNSUBSCRIBE from Disney+, Netflix, etc!")</f>
        <v>Time to UNSUBSCRIBE from Disney+, Netflix, etc!</v>
      </c>
      <c r="R585" s="11" t="s">
        <v>175</v>
      </c>
      <c r="S585"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T585" s="11" t="s">
        <v>175</v>
      </c>
      <c r="AR585" s="11">
        <f>SUBTOTAL(3,_xlfn.SINGLE(tbl_pros[RowId]))</f>
        <v>1</v>
      </c>
    </row>
    <row r="586" spans="10:44">
      <c r="J586" s="4">
        <v>576</v>
      </c>
      <c r="K586" s="20" t="s">
        <v>48</v>
      </c>
      <c r="L586" s="2" t="s">
        <v>1234</v>
      </c>
      <c r="M586" s="4">
        <v>3</v>
      </c>
      <c r="N586" s="4" t="s">
        <v>1235</v>
      </c>
      <c r="O586" s="21" t="str">
        <f t="shared" si="14"/>
        <v>The Ultimate Cable Management Tier List</v>
      </c>
      <c r="P586" s="11" t="s">
        <v>175</v>
      </c>
      <c r="Q586" s="21" t="str">
        <f>HYPERLINK("obsidian://open?vault=o2&amp;file=Time%20to%20UNSUBSCRIBE%20from%20Disney%2B%2C%20Netflix%2C%20etc%21.md","Time to UNSUBSCRIBE from Disney+, Netflix, etc!")</f>
        <v>Time to UNSUBSCRIBE from Disney+, Netflix, etc!</v>
      </c>
      <c r="R586" s="11" t="s">
        <v>175</v>
      </c>
      <c r="S586"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T586" s="11" t="s">
        <v>175</v>
      </c>
      <c r="AR586" s="11">
        <f>SUBTOTAL(3,_xlfn.SINGLE(tbl_pros[RowId]))</f>
        <v>1</v>
      </c>
    </row>
    <row r="587" spans="10:44">
      <c r="J587" s="4">
        <v>577</v>
      </c>
      <c r="K587" s="20" t="s">
        <v>48</v>
      </c>
      <c r="L587" s="2" t="s">
        <v>1236</v>
      </c>
      <c r="M587" s="4">
        <v>2</v>
      </c>
      <c r="N587" s="4" t="s">
        <v>1237</v>
      </c>
      <c r="O587" s="21" t="str">
        <f t="shared" si="14"/>
        <v>The Ultimate Cable Management Tier List</v>
      </c>
      <c r="P587" s="11" t="s">
        <v>175</v>
      </c>
      <c r="Q587"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R587" s="11" t="s">
        <v>175</v>
      </c>
      <c r="AR587" s="11">
        <f>SUBTOTAL(3,_xlfn.SINGLE(tbl_pros[RowId]))</f>
        <v>1</v>
      </c>
    </row>
    <row r="588" spans="10:44">
      <c r="J588" s="4">
        <v>578</v>
      </c>
      <c r="K588" s="20" t="s">
        <v>48</v>
      </c>
      <c r="L588" s="2" t="s">
        <v>1238</v>
      </c>
      <c r="M588" s="4">
        <v>2</v>
      </c>
      <c r="N588" s="4" t="s">
        <v>1239</v>
      </c>
      <c r="O588" s="21" t="str">
        <f t="shared" si="14"/>
        <v>The Ultimate Cable Management Tier List</v>
      </c>
      <c r="P588" s="11" t="s">
        <v>175</v>
      </c>
      <c r="Q588"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R588" s="11" t="s">
        <v>175</v>
      </c>
      <c r="AR588" s="11">
        <f>SUBTOTAL(3,_xlfn.SINGLE(tbl_pros[RowId]))</f>
        <v>1</v>
      </c>
    </row>
    <row r="589" spans="10:44">
      <c r="J589" s="4">
        <v>579</v>
      </c>
      <c r="K589" s="20" t="s">
        <v>48</v>
      </c>
      <c r="L589" s="2" t="s">
        <v>1240</v>
      </c>
      <c r="M589" s="4">
        <v>2</v>
      </c>
      <c r="N589" s="4" t="s">
        <v>1241</v>
      </c>
      <c r="O589" s="21" t="str">
        <f t="shared" si="14"/>
        <v>The Ultimate Cable Management Tier List</v>
      </c>
      <c r="P589" s="11" t="s">
        <v>175</v>
      </c>
      <c r="Q589"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R589" s="11" t="s">
        <v>175</v>
      </c>
      <c r="AR589" s="11">
        <f>SUBTOTAL(3,_xlfn.SINGLE(tbl_pros[RowId]))</f>
        <v>1</v>
      </c>
    </row>
    <row r="590" spans="10:44">
      <c r="J590" s="4">
        <v>580</v>
      </c>
      <c r="K590" s="20" t="s">
        <v>48</v>
      </c>
      <c r="L590" s="2" t="s">
        <v>1242</v>
      </c>
      <c r="M590" s="4">
        <v>2</v>
      </c>
      <c r="N590" s="4" t="s">
        <v>1243</v>
      </c>
      <c r="O590" s="21" t="str">
        <f t="shared" si="14"/>
        <v>The Ultimate Cable Management Tier List</v>
      </c>
      <c r="P590" s="11" t="s">
        <v>175</v>
      </c>
      <c r="Q590"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R590" s="11" t="s">
        <v>175</v>
      </c>
      <c r="AR590" s="11">
        <f>SUBTOTAL(3,_xlfn.SINGLE(tbl_pros[RowId]))</f>
        <v>1</v>
      </c>
    </row>
    <row r="591" spans="10:44">
      <c r="J591" s="4">
        <v>581</v>
      </c>
      <c r="K591" s="20" t="s">
        <v>48</v>
      </c>
      <c r="L591" s="2" t="s">
        <v>1244</v>
      </c>
      <c r="M591" s="4">
        <v>1</v>
      </c>
      <c r="N591" s="4" t="s">
        <v>1245</v>
      </c>
      <c r="O591" s="21" t="str">
        <f t="shared" ref="O591:O622" si="15">HYPERLINK("obsidian://open?vault=o2&amp;file=Time%20to%20UNSUBSCRIBE%20from%20Disney%2B%2C%20Netflix%2C%20etc%21.md","Time to UNSUBSCRIBE from Disney+, Netflix, etc!")</f>
        <v>Time to UNSUBSCRIBE from Disney+, Netflix, etc!</v>
      </c>
      <c r="P591" s="11" t="s">
        <v>175</v>
      </c>
      <c r="AR591" s="11">
        <f>SUBTOTAL(3,_xlfn.SINGLE(tbl_pros[RowId]))</f>
        <v>1</v>
      </c>
    </row>
    <row r="592" spans="10:44">
      <c r="J592" s="4">
        <v>582</v>
      </c>
      <c r="K592" s="20" t="s">
        <v>48</v>
      </c>
      <c r="L592" s="2" t="s">
        <v>1246</v>
      </c>
      <c r="M592" s="4">
        <v>1</v>
      </c>
      <c r="N592" s="4" t="s">
        <v>1247</v>
      </c>
      <c r="O592" s="21" t="str">
        <f t="shared" si="15"/>
        <v>Time to UNSUBSCRIBE from Disney+, Netflix, etc!</v>
      </c>
      <c r="P592" s="11" t="s">
        <v>175</v>
      </c>
      <c r="AR592" s="11">
        <f>SUBTOTAL(3,_xlfn.SINGLE(tbl_pros[RowId]))</f>
        <v>1</v>
      </c>
    </row>
    <row r="593" spans="10:44">
      <c r="J593" s="4">
        <v>583</v>
      </c>
      <c r="K593" s="20" t="s">
        <v>48</v>
      </c>
      <c r="L593" s="2" t="s">
        <v>1248</v>
      </c>
      <c r="M593" s="4">
        <v>1</v>
      </c>
      <c r="N593" s="4" t="s">
        <v>1249</v>
      </c>
      <c r="O593" s="21" t="str">
        <f t="shared" si="15"/>
        <v>Time to UNSUBSCRIBE from Disney+, Netflix, etc!</v>
      </c>
      <c r="P593" s="11" t="s">
        <v>175</v>
      </c>
      <c r="AR593" s="11">
        <f>SUBTOTAL(3,_xlfn.SINGLE(tbl_pros[RowId]))</f>
        <v>1</v>
      </c>
    </row>
    <row r="594" spans="10:44">
      <c r="J594" s="4">
        <v>584</v>
      </c>
      <c r="K594" s="20" t="s">
        <v>48</v>
      </c>
      <c r="L594" s="2" t="s">
        <v>1250</v>
      </c>
      <c r="M594" s="4">
        <v>1</v>
      </c>
      <c r="N594" s="4" t="s">
        <v>1251</v>
      </c>
      <c r="O594" s="21" t="str">
        <f t="shared" si="15"/>
        <v>Time to UNSUBSCRIBE from Disney+, Netflix, etc!</v>
      </c>
      <c r="P594" s="11" t="s">
        <v>175</v>
      </c>
      <c r="AR594" s="11">
        <f>SUBTOTAL(3,_xlfn.SINGLE(tbl_pros[RowId]))</f>
        <v>1</v>
      </c>
    </row>
    <row r="595" spans="10:44">
      <c r="J595" s="4">
        <v>585</v>
      </c>
      <c r="K595" s="20" t="s">
        <v>48</v>
      </c>
      <c r="L595" s="2" t="s">
        <v>1252</v>
      </c>
      <c r="M595" s="4">
        <v>1</v>
      </c>
      <c r="N595" s="4" t="s">
        <v>1253</v>
      </c>
      <c r="O595" s="21" t="str">
        <f t="shared" si="15"/>
        <v>Time to UNSUBSCRIBE from Disney+, Netflix, etc!</v>
      </c>
      <c r="P595" s="11" t="s">
        <v>175</v>
      </c>
      <c r="AR595" s="11">
        <f>SUBTOTAL(3,_xlfn.SINGLE(tbl_pros[RowId]))</f>
        <v>1</v>
      </c>
    </row>
    <row r="596" spans="10:44">
      <c r="J596" s="4">
        <v>586</v>
      </c>
      <c r="K596" s="20" t="s">
        <v>48</v>
      </c>
      <c r="L596" s="2" t="s">
        <v>1254</v>
      </c>
      <c r="M596" s="4">
        <v>1</v>
      </c>
      <c r="N596" s="4" t="s">
        <v>1255</v>
      </c>
      <c r="O596" s="21" t="str">
        <f t="shared" si="15"/>
        <v>Time to UNSUBSCRIBE from Disney+, Netflix, etc!</v>
      </c>
      <c r="P596" s="11" t="s">
        <v>175</v>
      </c>
      <c r="AR596" s="11">
        <f>SUBTOTAL(3,_xlfn.SINGLE(tbl_pros[RowId]))</f>
        <v>1</v>
      </c>
    </row>
    <row r="597" spans="10:44">
      <c r="J597" s="4">
        <v>587</v>
      </c>
      <c r="K597" s="20" t="s">
        <v>48</v>
      </c>
      <c r="L597" s="2" t="s">
        <v>1256</v>
      </c>
      <c r="M597" s="4">
        <v>1</v>
      </c>
      <c r="N597" s="4" t="s">
        <v>1257</v>
      </c>
      <c r="O597" s="21" t="str">
        <f t="shared" si="15"/>
        <v>Time to UNSUBSCRIBE from Disney+, Netflix, etc!</v>
      </c>
      <c r="P597" s="11" t="s">
        <v>175</v>
      </c>
      <c r="AR597" s="11">
        <f>SUBTOTAL(3,_xlfn.SINGLE(tbl_pros[RowId]))</f>
        <v>1</v>
      </c>
    </row>
    <row r="598" spans="10:44">
      <c r="J598" s="4">
        <v>588</v>
      </c>
      <c r="K598" s="20" t="s">
        <v>48</v>
      </c>
      <c r="L598" s="2" t="s">
        <v>1258</v>
      </c>
      <c r="M598" s="4">
        <v>1</v>
      </c>
      <c r="N598" s="4" t="s">
        <v>1259</v>
      </c>
      <c r="O598" s="21" t="str">
        <f t="shared" si="15"/>
        <v>Time to UNSUBSCRIBE from Disney+, Netflix, etc!</v>
      </c>
      <c r="P598" s="11" t="s">
        <v>175</v>
      </c>
      <c r="AR598" s="11">
        <f>SUBTOTAL(3,_xlfn.SINGLE(tbl_pros[RowId]))</f>
        <v>1</v>
      </c>
    </row>
    <row r="599" spans="10:44">
      <c r="J599" s="4">
        <v>589</v>
      </c>
      <c r="K599" s="20" t="s">
        <v>48</v>
      </c>
      <c r="L599" s="2" t="s">
        <v>1260</v>
      </c>
      <c r="M599" s="4">
        <v>1</v>
      </c>
      <c r="N599" s="4" t="s">
        <v>1261</v>
      </c>
      <c r="O599" s="21" t="str">
        <f t="shared" si="15"/>
        <v>Time to UNSUBSCRIBE from Disney+, Netflix, etc!</v>
      </c>
      <c r="P599" s="11" t="s">
        <v>175</v>
      </c>
      <c r="AR599" s="11">
        <f>SUBTOTAL(3,_xlfn.SINGLE(tbl_pros[RowId]))</f>
        <v>1</v>
      </c>
    </row>
    <row r="600" spans="10:44">
      <c r="J600" s="4">
        <v>590</v>
      </c>
      <c r="K600" s="20" t="s">
        <v>48</v>
      </c>
      <c r="L600" s="2" t="s">
        <v>1262</v>
      </c>
      <c r="M600" s="4">
        <v>1</v>
      </c>
      <c r="N600" s="4" t="s">
        <v>1263</v>
      </c>
      <c r="O600" s="21" t="str">
        <f t="shared" si="15"/>
        <v>Time to UNSUBSCRIBE from Disney+, Netflix, etc!</v>
      </c>
      <c r="P600" s="11" t="s">
        <v>175</v>
      </c>
      <c r="AR600" s="11">
        <f>SUBTOTAL(3,_xlfn.SINGLE(tbl_pros[RowId]))</f>
        <v>1</v>
      </c>
    </row>
    <row r="601" spans="10:44">
      <c r="J601" s="4">
        <v>591</v>
      </c>
      <c r="K601" s="20" t="s">
        <v>48</v>
      </c>
      <c r="L601" s="2" t="s">
        <v>1264</v>
      </c>
      <c r="M601" s="4">
        <v>1</v>
      </c>
      <c r="N601" s="4" t="s">
        <v>1265</v>
      </c>
      <c r="O601" s="21" t="str">
        <f t="shared" si="15"/>
        <v>Time to UNSUBSCRIBE from Disney+, Netflix, etc!</v>
      </c>
      <c r="P601" s="11" t="s">
        <v>175</v>
      </c>
      <c r="AR601" s="11">
        <f>SUBTOTAL(3,_xlfn.SINGLE(tbl_pros[RowId]))</f>
        <v>1</v>
      </c>
    </row>
    <row r="602" spans="10:44">
      <c r="J602" s="4">
        <v>592</v>
      </c>
      <c r="K602" s="20" t="s">
        <v>48</v>
      </c>
      <c r="L602" s="2" t="s">
        <v>1266</v>
      </c>
      <c r="M602" s="4">
        <v>1</v>
      </c>
      <c r="N602" s="4" t="s">
        <v>1267</v>
      </c>
      <c r="O602" s="21" t="str">
        <f t="shared" si="15"/>
        <v>Time to UNSUBSCRIBE from Disney+, Netflix, etc!</v>
      </c>
      <c r="P602" s="11" t="s">
        <v>175</v>
      </c>
      <c r="AR602" s="11">
        <f>SUBTOTAL(3,_xlfn.SINGLE(tbl_pros[RowId]))</f>
        <v>1</v>
      </c>
    </row>
    <row r="603" spans="10:44">
      <c r="J603" s="4">
        <v>593</v>
      </c>
      <c r="K603" s="20" t="s">
        <v>48</v>
      </c>
      <c r="L603" s="2" t="s">
        <v>1268</v>
      </c>
      <c r="M603" s="4">
        <v>1</v>
      </c>
      <c r="N603" s="4" t="s">
        <v>1269</v>
      </c>
      <c r="O603" s="21" t="str">
        <f t="shared" si="15"/>
        <v>Time to UNSUBSCRIBE from Disney+, Netflix, etc!</v>
      </c>
      <c r="P603" s="11" t="s">
        <v>175</v>
      </c>
      <c r="AR603" s="11">
        <f>SUBTOTAL(3,_xlfn.SINGLE(tbl_pros[RowId]))</f>
        <v>1</v>
      </c>
    </row>
    <row r="604" spans="10:44">
      <c r="J604" s="4">
        <v>594</v>
      </c>
      <c r="K604" s="20" t="s">
        <v>48</v>
      </c>
      <c r="L604" s="2" t="s">
        <v>1270</v>
      </c>
      <c r="M604" s="4">
        <v>1</v>
      </c>
      <c r="N604" s="4" t="s">
        <v>1271</v>
      </c>
      <c r="O604" s="21" t="str">
        <f t="shared" si="15"/>
        <v>Time to UNSUBSCRIBE from Disney+, Netflix, etc!</v>
      </c>
      <c r="P604" s="11" t="s">
        <v>175</v>
      </c>
      <c r="AR604" s="11">
        <f>SUBTOTAL(3,_xlfn.SINGLE(tbl_pros[RowId]))</f>
        <v>1</v>
      </c>
    </row>
    <row r="605" spans="10:44">
      <c r="J605" s="4">
        <v>595</v>
      </c>
      <c r="K605" s="20" t="s">
        <v>48</v>
      </c>
      <c r="L605" s="2" t="s">
        <v>1272</v>
      </c>
      <c r="M605" s="4">
        <v>1</v>
      </c>
      <c r="N605" s="4" t="s">
        <v>1273</v>
      </c>
      <c r="O605" s="21" t="str">
        <f t="shared" si="15"/>
        <v>Time to UNSUBSCRIBE from Disney+, Netflix, etc!</v>
      </c>
      <c r="P605" s="11" t="s">
        <v>175</v>
      </c>
      <c r="AR605" s="11">
        <f>SUBTOTAL(3,_xlfn.SINGLE(tbl_pros[RowId]))</f>
        <v>1</v>
      </c>
    </row>
    <row r="606" spans="10:44">
      <c r="J606" s="4">
        <v>596</v>
      </c>
      <c r="K606" s="20" t="s">
        <v>48</v>
      </c>
      <c r="L606" s="2" t="s">
        <v>1274</v>
      </c>
      <c r="M606" s="4">
        <v>1</v>
      </c>
      <c r="N606" s="4" t="s">
        <v>1275</v>
      </c>
      <c r="O606" s="21" t="str">
        <f t="shared" si="15"/>
        <v>Time to UNSUBSCRIBE from Disney+, Netflix, etc!</v>
      </c>
      <c r="P606" s="11" t="s">
        <v>175</v>
      </c>
      <c r="AR606" s="11">
        <f>SUBTOTAL(3,_xlfn.SINGLE(tbl_pros[RowId]))</f>
        <v>1</v>
      </c>
    </row>
    <row r="607" spans="10:44">
      <c r="J607" s="4">
        <v>597</v>
      </c>
      <c r="K607" s="20" t="s">
        <v>48</v>
      </c>
      <c r="L607" s="2" t="s">
        <v>1276</v>
      </c>
      <c r="M607" s="4">
        <v>1</v>
      </c>
      <c r="N607" s="4" t="s">
        <v>1277</v>
      </c>
      <c r="O607" s="21" t="str">
        <f t="shared" si="15"/>
        <v>Time to UNSUBSCRIBE from Disney+, Netflix, etc!</v>
      </c>
      <c r="P607" s="11" t="s">
        <v>175</v>
      </c>
      <c r="AR607" s="11">
        <f>SUBTOTAL(3,_xlfn.SINGLE(tbl_pros[RowId]))</f>
        <v>1</v>
      </c>
    </row>
    <row r="608" spans="10:44">
      <c r="J608" s="4">
        <v>598</v>
      </c>
      <c r="K608" s="20" t="s">
        <v>48</v>
      </c>
      <c r="L608" s="2" t="s">
        <v>1278</v>
      </c>
      <c r="M608" s="4">
        <v>1</v>
      </c>
      <c r="N608" s="4" t="s">
        <v>1279</v>
      </c>
      <c r="O608" s="21" t="str">
        <f t="shared" si="15"/>
        <v>Time to UNSUBSCRIBE from Disney+, Netflix, etc!</v>
      </c>
      <c r="P608" s="11" t="s">
        <v>175</v>
      </c>
      <c r="AR608" s="11">
        <f>SUBTOTAL(3,_xlfn.SINGLE(tbl_pros[RowId]))</f>
        <v>1</v>
      </c>
    </row>
    <row r="609" spans="10:44">
      <c r="J609" s="4">
        <v>599</v>
      </c>
      <c r="K609" s="20" t="s">
        <v>48</v>
      </c>
      <c r="L609" s="2" t="s">
        <v>1280</v>
      </c>
      <c r="M609" s="4">
        <v>1</v>
      </c>
      <c r="N609" s="4" t="s">
        <v>1281</v>
      </c>
      <c r="O609" s="21" t="str">
        <f t="shared" si="15"/>
        <v>Time to UNSUBSCRIBE from Disney+, Netflix, etc!</v>
      </c>
      <c r="P609" s="11" t="s">
        <v>175</v>
      </c>
      <c r="AR609" s="11">
        <f>SUBTOTAL(3,_xlfn.SINGLE(tbl_pros[RowId]))</f>
        <v>1</v>
      </c>
    </row>
    <row r="610" spans="10:44">
      <c r="J610" s="4">
        <v>600</v>
      </c>
      <c r="K610" s="20" t="s">
        <v>48</v>
      </c>
      <c r="L610" s="2" t="s">
        <v>1282</v>
      </c>
      <c r="M610" s="4">
        <v>1</v>
      </c>
      <c r="N610" s="4" t="s">
        <v>1283</v>
      </c>
      <c r="O610" s="21" t="str">
        <f t="shared" si="15"/>
        <v>Time to UNSUBSCRIBE from Disney+, Netflix, etc!</v>
      </c>
      <c r="P610" s="11" t="s">
        <v>175</v>
      </c>
      <c r="AR610" s="11">
        <f>SUBTOTAL(3,_xlfn.SINGLE(tbl_pros[RowId]))</f>
        <v>1</v>
      </c>
    </row>
    <row r="611" spans="10:44">
      <c r="J611" s="4">
        <v>601</v>
      </c>
      <c r="K611" s="20" t="s">
        <v>48</v>
      </c>
      <c r="L611" s="2" t="s">
        <v>1284</v>
      </c>
      <c r="M611" s="4">
        <v>1</v>
      </c>
      <c r="N611" s="4" t="s">
        <v>1285</v>
      </c>
      <c r="O611" s="21" t="str">
        <f t="shared" si="15"/>
        <v>Time to UNSUBSCRIBE from Disney+, Netflix, etc!</v>
      </c>
      <c r="P611" s="11" t="s">
        <v>175</v>
      </c>
      <c r="AR611" s="11">
        <f>SUBTOTAL(3,_xlfn.SINGLE(tbl_pros[RowId]))</f>
        <v>1</v>
      </c>
    </row>
    <row r="612" spans="10:44">
      <c r="J612" s="4">
        <v>602</v>
      </c>
      <c r="K612" s="20" t="s">
        <v>48</v>
      </c>
      <c r="L612" s="2" t="s">
        <v>1286</v>
      </c>
      <c r="M612" s="4">
        <v>1</v>
      </c>
      <c r="N612" s="4" t="s">
        <v>1287</v>
      </c>
      <c r="O612" s="21" t="str">
        <f t="shared" si="15"/>
        <v>Time to UNSUBSCRIBE from Disney+, Netflix, etc!</v>
      </c>
      <c r="P612" s="11" t="s">
        <v>175</v>
      </c>
      <c r="AR612" s="11">
        <f>SUBTOTAL(3,_xlfn.SINGLE(tbl_pros[RowId]))</f>
        <v>1</v>
      </c>
    </row>
    <row r="613" spans="10:44">
      <c r="J613" s="4">
        <v>603</v>
      </c>
      <c r="K613" s="20" t="s">
        <v>48</v>
      </c>
      <c r="L613" s="2" t="s">
        <v>1288</v>
      </c>
      <c r="M613" s="4">
        <v>1</v>
      </c>
      <c r="N613" s="4" t="s">
        <v>1289</v>
      </c>
      <c r="O613" s="21" t="str">
        <f t="shared" si="15"/>
        <v>Time to UNSUBSCRIBE from Disney+, Netflix, etc!</v>
      </c>
      <c r="P613" s="11" t="s">
        <v>175</v>
      </c>
      <c r="AR613" s="11">
        <f>SUBTOTAL(3,_xlfn.SINGLE(tbl_pros[RowId]))</f>
        <v>1</v>
      </c>
    </row>
    <row r="614" spans="10:44">
      <c r="J614" s="4">
        <v>604</v>
      </c>
      <c r="K614" s="20" t="s">
        <v>48</v>
      </c>
      <c r="L614" s="2" t="s">
        <v>1290</v>
      </c>
      <c r="M614" s="4">
        <v>1</v>
      </c>
      <c r="N614" s="4" t="s">
        <v>1291</v>
      </c>
      <c r="O614" s="21" t="str">
        <f t="shared" si="15"/>
        <v>Time to UNSUBSCRIBE from Disney+, Netflix, etc!</v>
      </c>
      <c r="P614" s="11" t="s">
        <v>175</v>
      </c>
      <c r="AR614" s="11">
        <f>SUBTOTAL(3,_xlfn.SINGLE(tbl_pros[RowId]))</f>
        <v>1</v>
      </c>
    </row>
    <row r="615" spans="10:44">
      <c r="J615" s="4">
        <v>605</v>
      </c>
      <c r="K615" s="20" t="s">
        <v>48</v>
      </c>
      <c r="L615" s="2" t="s">
        <v>1292</v>
      </c>
      <c r="M615" s="4">
        <v>1</v>
      </c>
      <c r="N615" s="4" t="s">
        <v>1293</v>
      </c>
      <c r="O615" s="21" t="str">
        <f t="shared" si="15"/>
        <v>Time to UNSUBSCRIBE from Disney+, Netflix, etc!</v>
      </c>
      <c r="P615" s="11" t="s">
        <v>175</v>
      </c>
      <c r="AR615" s="11">
        <f>SUBTOTAL(3,_xlfn.SINGLE(tbl_pros[RowId]))</f>
        <v>1</v>
      </c>
    </row>
    <row r="616" spans="10:44">
      <c r="J616" s="4">
        <v>606</v>
      </c>
      <c r="K616" s="20" t="s">
        <v>48</v>
      </c>
      <c r="L616" s="2" t="s">
        <v>1294</v>
      </c>
      <c r="M616" s="4">
        <v>1</v>
      </c>
      <c r="N616" s="4" t="s">
        <v>1295</v>
      </c>
      <c r="O616" s="21" t="str">
        <f t="shared" si="15"/>
        <v>Time to UNSUBSCRIBE from Disney+, Netflix, etc!</v>
      </c>
      <c r="P616" s="11" t="s">
        <v>175</v>
      </c>
      <c r="AR616" s="11">
        <f>SUBTOTAL(3,_xlfn.SINGLE(tbl_pros[RowId]))</f>
        <v>1</v>
      </c>
    </row>
    <row r="617" spans="10:44">
      <c r="J617" s="4">
        <v>607</v>
      </c>
      <c r="K617" s="20" t="s">
        <v>48</v>
      </c>
      <c r="L617" s="2" t="s">
        <v>1296</v>
      </c>
      <c r="M617" s="4">
        <v>1</v>
      </c>
      <c r="N617" s="4" t="s">
        <v>1297</v>
      </c>
      <c r="O617" s="21" t="str">
        <f t="shared" si="15"/>
        <v>Time to UNSUBSCRIBE from Disney+, Netflix, etc!</v>
      </c>
      <c r="P617" s="11" t="s">
        <v>175</v>
      </c>
      <c r="AR617" s="11">
        <f>SUBTOTAL(3,_xlfn.SINGLE(tbl_pros[RowId]))</f>
        <v>1</v>
      </c>
    </row>
    <row r="618" spans="10:44">
      <c r="J618" s="4">
        <v>608</v>
      </c>
      <c r="K618" s="20" t="s">
        <v>48</v>
      </c>
      <c r="L618" s="2" t="s">
        <v>1298</v>
      </c>
      <c r="M618" s="4">
        <v>1</v>
      </c>
      <c r="N618" s="4" t="s">
        <v>1299</v>
      </c>
      <c r="O618" s="21" t="str">
        <f t="shared" si="15"/>
        <v>Time to UNSUBSCRIBE from Disney+, Netflix, etc!</v>
      </c>
      <c r="P618" s="11" t="s">
        <v>175</v>
      </c>
      <c r="AR618" s="11">
        <f>SUBTOTAL(3,_xlfn.SINGLE(tbl_pros[RowId]))</f>
        <v>1</v>
      </c>
    </row>
    <row r="619" spans="10:44">
      <c r="J619" s="4">
        <v>609</v>
      </c>
      <c r="K619" s="20" t="s">
        <v>48</v>
      </c>
      <c r="L619" s="2" t="s">
        <v>1300</v>
      </c>
      <c r="M619" s="4">
        <v>1</v>
      </c>
      <c r="N619" s="4" t="s">
        <v>1301</v>
      </c>
      <c r="O619" s="21" t="str">
        <f t="shared" si="15"/>
        <v>Time to UNSUBSCRIBE from Disney+, Netflix, etc!</v>
      </c>
      <c r="P619" s="11" t="s">
        <v>175</v>
      </c>
      <c r="AR619" s="11">
        <f>SUBTOTAL(3,_xlfn.SINGLE(tbl_pros[RowId]))</f>
        <v>1</v>
      </c>
    </row>
    <row r="620" spans="10:44">
      <c r="J620" s="4">
        <v>610</v>
      </c>
      <c r="K620" s="20" t="s">
        <v>48</v>
      </c>
      <c r="L620" s="2" t="s">
        <v>1302</v>
      </c>
      <c r="M620" s="4">
        <v>1</v>
      </c>
      <c r="N620" s="4" t="s">
        <v>1303</v>
      </c>
      <c r="O620" s="21" t="str">
        <f t="shared" si="15"/>
        <v>Time to UNSUBSCRIBE from Disney+, Netflix, etc!</v>
      </c>
      <c r="P620" s="11" t="s">
        <v>175</v>
      </c>
      <c r="AR620" s="11">
        <f>SUBTOTAL(3,_xlfn.SINGLE(tbl_pros[RowId]))</f>
        <v>1</v>
      </c>
    </row>
    <row r="621" spans="10:44">
      <c r="J621" s="4">
        <v>611</v>
      </c>
      <c r="K621" s="20" t="s">
        <v>48</v>
      </c>
      <c r="L621" s="2" t="s">
        <v>1304</v>
      </c>
      <c r="M621" s="4">
        <v>1</v>
      </c>
      <c r="N621" s="4" t="s">
        <v>1305</v>
      </c>
      <c r="O621" s="21" t="str">
        <f t="shared" si="15"/>
        <v>Time to UNSUBSCRIBE from Disney+, Netflix, etc!</v>
      </c>
      <c r="P621" s="11" t="s">
        <v>175</v>
      </c>
      <c r="AR621" s="11">
        <f>SUBTOTAL(3,_xlfn.SINGLE(tbl_pros[RowId]))</f>
        <v>1</v>
      </c>
    </row>
    <row r="622" spans="10:44">
      <c r="J622" s="4">
        <v>612</v>
      </c>
      <c r="K622" s="20" t="s">
        <v>48</v>
      </c>
      <c r="L622" s="2" t="s">
        <v>1306</v>
      </c>
      <c r="M622" s="4">
        <v>1</v>
      </c>
      <c r="N622" s="4" t="s">
        <v>1307</v>
      </c>
      <c r="O622" s="21" t="str">
        <f t="shared" si="15"/>
        <v>Time to UNSUBSCRIBE from Disney+, Netflix, etc!</v>
      </c>
      <c r="P622" s="11" t="s">
        <v>175</v>
      </c>
      <c r="AR622" s="11">
        <f>SUBTOTAL(3,_xlfn.SINGLE(tbl_pros[RowId]))</f>
        <v>1</v>
      </c>
    </row>
    <row r="623" spans="10:44">
      <c r="J623" s="4">
        <v>613</v>
      </c>
      <c r="K623" s="20" t="s">
        <v>48</v>
      </c>
      <c r="L623" s="2" t="s">
        <v>1308</v>
      </c>
      <c r="M623" s="4">
        <v>1</v>
      </c>
      <c r="N623" s="4" t="s">
        <v>1309</v>
      </c>
      <c r="O623" s="21" t="str">
        <f t="shared" ref="O623:O647" si="16">HYPERLINK("obsidian://open?vault=o2&amp;file=Time%20to%20UNSUBSCRIBE%20from%20Disney%2B%2C%20Netflix%2C%20etc%21.md","Time to UNSUBSCRIBE from Disney+, Netflix, etc!")</f>
        <v>Time to UNSUBSCRIBE from Disney+, Netflix, etc!</v>
      </c>
      <c r="P623" s="11" t="s">
        <v>175</v>
      </c>
      <c r="AR623" s="11">
        <f>SUBTOTAL(3,_xlfn.SINGLE(tbl_pros[RowId]))</f>
        <v>1</v>
      </c>
    </row>
    <row r="624" spans="10:44">
      <c r="J624" s="4">
        <v>614</v>
      </c>
      <c r="K624" s="20" t="s">
        <v>48</v>
      </c>
      <c r="L624" s="2" t="s">
        <v>1310</v>
      </c>
      <c r="M624" s="4">
        <v>1</v>
      </c>
      <c r="N624" s="4" t="s">
        <v>1311</v>
      </c>
      <c r="O624" s="21" t="str">
        <f t="shared" si="16"/>
        <v>Time to UNSUBSCRIBE from Disney+, Netflix, etc!</v>
      </c>
      <c r="P624" s="11" t="s">
        <v>175</v>
      </c>
      <c r="AR624" s="11">
        <f>SUBTOTAL(3,_xlfn.SINGLE(tbl_pros[RowId]))</f>
        <v>1</v>
      </c>
    </row>
    <row r="625" spans="10:44">
      <c r="J625" s="4">
        <v>615</v>
      </c>
      <c r="K625" s="20" t="s">
        <v>48</v>
      </c>
      <c r="L625" s="2" t="s">
        <v>1312</v>
      </c>
      <c r="M625" s="4">
        <v>1</v>
      </c>
      <c r="N625" s="4" t="s">
        <v>1313</v>
      </c>
      <c r="O625" s="21" t="str">
        <f t="shared" si="16"/>
        <v>Time to UNSUBSCRIBE from Disney+, Netflix, etc!</v>
      </c>
      <c r="P625" s="11" t="s">
        <v>175</v>
      </c>
      <c r="AR625" s="11">
        <f>SUBTOTAL(3,_xlfn.SINGLE(tbl_pros[RowId]))</f>
        <v>1</v>
      </c>
    </row>
    <row r="626" spans="10:44">
      <c r="J626" s="4">
        <v>616</v>
      </c>
      <c r="K626" s="20" t="s">
        <v>48</v>
      </c>
      <c r="L626" s="2" t="s">
        <v>1314</v>
      </c>
      <c r="M626" s="4">
        <v>1</v>
      </c>
      <c r="N626" s="4" t="s">
        <v>1315</v>
      </c>
      <c r="O626" s="21" t="str">
        <f t="shared" si="16"/>
        <v>Time to UNSUBSCRIBE from Disney+, Netflix, etc!</v>
      </c>
      <c r="P626" s="11" t="s">
        <v>175</v>
      </c>
      <c r="AR626" s="11">
        <f>SUBTOTAL(3,_xlfn.SINGLE(tbl_pros[RowId]))</f>
        <v>1</v>
      </c>
    </row>
    <row r="627" spans="10:44">
      <c r="J627" s="4">
        <v>617</v>
      </c>
      <c r="K627" s="20" t="s">
        <v>48</v>
      </c>
      <c r="L627" s="2" t="s">
        <v>1316</v>
      </c>
      <c r="M627" s="4">
        <v>1</v>
      </c>
      <c r="N627" s="4" t="s">
        <v>1317</v>
      </c>
      <c r="O627" s="21" t="str">
        <f t="shared" si="16"/>
        <v>Time to UNSUBSCRIBE from Disney+, Netflix, etc!</v>
      </c>
      <c r="P627" s="11" t="s">
        <v>175</v>
      </c>
      <c r="AR627" s="11">
        <f>SUBTOTAL(3,_xlfn.SINGLE(tbl_pros[RowId]))</f>
        <v>1</v>
      </c>
    </row>
    <row r="628" spans="10:44">
      <c r="J628" s="4">
        <v>618</v>
      </c>
      <c r="K628" s="20" t="s">
        <v>48</v>
      </c>
      <c r="L628" s="2" t="s">
        <v>1318</v>
      </c>
      <c r="M628" s="4">
        <v>1</v>
      </c>
      <c r="N628" s="4" t="s">
        <v>1319</v>
      </c>
      <c r="O628" s="21" t="str">
        <f t="shared" si="16"/>
        <v>Time to UNSUBSCRIBE from Disney+, Netflix, etc!</v>
      </c>
      <c r="P628" s="11" t="s">
        <v>175</v>
      </c>
      <c r="AR628" s="11">
        <f>SUBTOTAL(3,_xlfn.SINGLE(tbl_pros[RowId]))</f>
        <v>1</v>
      </c>
    </row>
    <row r="629" spans="10:44">
      <c r="J629" s="4">
        <v>619</v>
      </c>
      <c r="K629" s="20" t="s">
        <v>48</v>
      </c>
      <c r="L629" s="2" t="s">
        <v>1320</v>
      </c>
      <c r="M629" s="4">
        <v>1</v>
      </c>
      <c r="N629" s="4" t="s">
        <v>1321</v>
      </c>
      <c r="O629" s="21" t="str">
        <f t="shared" si="16"/>
        <v>Time to UNSUBSCRIBE from Disney+, Netflix, etc!</v>
      </c>
      <c r="P629" s="11" t="s">
        <v>175</v>
      </c>
      <c r="AR629" s="11">
        <f>SUBTOTAL(3,_xlfn.SINGLE(tbl_pros[RowId]))</f>
        <v>1</v>
      </c>
    </row>
    <row r="630" spans="10:44">
      <c r="J630" s="4">
        <v>620</v>
      </c>
      <c r="K630" s="20" t="s">
        <v>48</v>
      </c>
      <c r="L630" s="2" t="s">
        <v>1322</v>
      </c>
      <c r="M630" s="4">
        <v>1</v>
      </c>
      <c r="N630" s="4" t="s">
        <v>1323</v>
      </c>
      <c r="O630" s="21" t="str">
        <f t="shared" si="16"/>
        <v>Time to UNSUBSCRIBE from Disney+, Netflix, etc!</v>
      </c>
      <c r="P630" s="11" t="s">
        <v>175</v>
      </c>
      <c r="AR630" s="11">
        <f>SUBTOTAL(3,_xlfn.SINGLE(tbl_pros[RowId]))</f>
        <v>1</v>
      </c>
    </row>
    <row r="631" spans="10:44">
      <c r="J631" s="4">
        <v>621</v>
      </c>
      <c r="K631" s="20" t="s">
        <v>48</v>
      </c>
      <c r="L631" s="2" t="s">
        <v>1324</v>
      </c>
      <c r="M631" s="4">
        <v>1</v>
      </c>
      <c r="N631" s="4" t="s">
        <v>1325</v>
      </c>
      <c r="O631" s="21" t="str">
        <f t="shared" si="16"/>
        <v>Time to UNSUBSCRIBE from Disney+, Netflix, etc!</v>
      </c>
      <c r="P631" s="11" t="s">
        <v>175</v>
      </c>
      <c r="AR631" s="11">
        <f>SUBTOTAL(3,_xlfn.SINGLE(tbl_pros[RowId]))</f>
        <v>1</v>
      </c>
    </row>
    <row r="632" spans="10:44">
      <c r="J632" s="4">
        <v>622</v>
      </c>
      <c r="K632" s="20" t="s">
        <v>48</v>
      </c>
      <c r="L632" s="2" t="s">
        <v>1326</v>
      </c>
      <c r="M632" s="4">
        <v>1</v>
      </c>
      <c r="N632" s="4" t="s">
        <v>1327</v>
      </c>
      <c r="O632" s="21" t="str">
        <f t="shared" si="16"/>
        <v>Time to UNSUBSCRIBE from Disney+, Netflix, etc!</v>
      </c>
      <c r="P632" s="11" t="s">
        <v>175</v>
      </c>
      <c r="AR632" s="11">
        <f>SUBTOTAL(3,_xlfn.SINGLE(tbl_pros[RowId]))</f>
        <v>1</v>
      </c>
    </row>
    <row r="633" spans="10:44">
      <c r="J633" s="4">
        <v>623</v>
      </c>
      <c r="K633" s="20" t="s">
        <v>48</v>
      </c>
      <c r="L633" s="2" t="s">
        <v>1328</v>
      </c>
      <c r="M633" s="4">
        <v>1</v>
      </c>
      <c r="N633" s="4" t="s">
        <v>1329</v>
      </c>
      <c r="O633" s="21" t="str">
        <f t="shared" si="16"/>
        <v>Time to UNSUBSCRIBE from Disney+, Netflix, etc!</v>
      </c>
      <c r="P633" s="11" t="s">
        <v>175</v>
      </c>
      <c r="AR633" s="11">
        <f>SUBTOTAL(3,_xlfn.SINGLE(tbl_pros[RowId]))</f>
        <v>1</v>
      </c>
    </row>
    <row r="634" spans="10:44">
      <c r="J634" s="4">
        <v>624</v>
      </c>
      <c r="K634" s="20" t="s">
        <v>48</v>
      </c>
      <c r="L634" s="2" t="s">
        <v>1330</v>
      </c>
      <c r="M634" s="4">
        <v>1</v>
      </c>
      <c r="N634" s="4" t="s">
        <v>1331</v>
      </c>
      <c r="O634" s="21" t="str">
        <f t="shared" si="16"/>
        <v>Time to UNSUBSCRIBE from Disney+, Netflix, etc!</v>
      </c>
      <c r="P634" s="11" t="s">
        <v>175</v>
      </c>
      <c r="AR634" s="11">
        <f>SUBTOTAL(3,_xlfn.SINGLE(tbl_pros[RowId]))</f>
        <v>1</v>
      </c>
    </row>
    <row r="635" spans="10:44">
      <c r="J635" s="4">
        <v>625</v>
      </c>
      <c r="K635" s="20" t="s">
        <v>48</v>
      </c>
      <c r="L635" s="2" t="s">
        <v>1332</v>
      </c>
      <c r="M635" s="4">
        <v>1</v>
      </c>
      <c r="N635" s="4" t="s">
        <v>1333</v>
      </c>
      <c r="O635" s="21" t="str">
        <f t="shared" si="16"/>
        <v>Time to UNSUBSCRIBE from Disney+, Netflix, etc!</v>
      </c>
      <c r="P635" s="11" t="s">
        <v>175</v>
      </c>
      <c r="AR635" s="11">
        <f>SUBTOTAL(3,_xlfn.SINGLE(tbl_pros[RowId]))</f>
        <v>1</v>
      </c>
    </row>
    <row r="636" spans="10:44">
      <c r="J636" s="4">
        <v>626</v>
      </c>
      <c r="K636" s="20" t="s">
        <v>48</v>
      </c>
      <c r="L636" s="2" t="s">
        <v>1334</v>
      </c>
      <c r="M636" s="4">
        <v>1</v>
      </c>
      <c r="N636" s="4" t="s">
        <v>1335</v>
      </c>
      <c r="O636" s="21" t="str">
        <f t="shared" si="16"/>
        <v>Time to UNSUBSCRIBE from Disney+, Netflix, etc!</v>
      </c>
      <c r="P636" s="11" t="s">
        <v>175</v>
      </c>
      <c r="AR636" s="11">
        <f>SUBTOTAL(3,_xlfn.SINGLE(tbl_pros[RowId]))</f>
        <v>1</v>
      </c>
    </row>
    <row r="637" spans="10:44">
      <c r="J637" s="4">
        <v>627</v>
      </c>
      <c r="K637" s="20" t="s">
        <v>48</v>
      </c>
      <c r="L637" s="2" t="s">
        <v>1336</v>
      </c>
      <c r="M637" s="4">
        <v>1</v>
      </c>
      <c r="N637" s="4" t="s">
        <v>1337</v>
      </c>
      <c r="O637" s="21" t="str">
        <f t="shared" si="16"/>
        <v>Time to UNSUBSCRIBE from Disney+, Netflix, etc!</v>
      </c>
      <c r="P637" s="11" t="s">
        <v>175</v>
      </c>
      <c r="AR637" s="11">
        <f>SUBTOTAL(3,_xlfn.SINGLE(tbl_pros[RowId]))</f>
        <v>1</v>
      </c>
    </row>
    <row r="638" spans="10:44">
      <c r="J638" s="4">
        <v>628</v>
      </c>
      <c r="K638" s="20" t="s">
        <v>48</v>
      </c>
      <c r="L638" s="2" t="s">
        <v>1338</v>
      </c>
      <c r="M638" s="4">
        <v>1</v>
      </c>
      <c r="N638" s="4" t="s">
        <v>1339</v>
      </c>
      <c r="O638" s="21" t="str">
        <f t="shared" si="16"/>
        <v>Time to UNSUBSCRIBE from Disney+, Netflix, etc!</v>
      </c>
      <c r="P638" s="11" t="s">
        <v>175</v>
      </c>
      <c r="AR638" s="11">
        <f>SUBTOTAL(3,_xlfn.SINGLE(tbl_pros[RowId]))</f>
        <v>1</v>
      </c>
    </row>
    <row r="639" spans="10:44">
      <c r="J639" s="4">
        <v>629</v>
      </c>
      <c r="K639" s="20" t="s">
        <v>48</v>
      </c>
      <c r="L639" s="2" t="s">
        <v>1340</v>
      </c>
      <c r="M639" s="4">
        <v>1</v>
      </c>
      <c r="N639" s="4" t="s">
        <v>1341</v>
      </c>
      <c r="O639" s="21" t="str">
        <f t="shared" si="16"/>
        <v>Time to UNSUBSCRIBE from Disney+, Netflix, etc!</v>
      </c>
      <c r="P639" s="11" t="s">
        <v>175</v>
      </c>
      <c r="AR639" s="11">
        <f>SUBTOTAL(3,_xlfn.SINGLE(tbl_pros[RowId]))</f>
        <v>1</v>
      </c>
    </row>
    <row r="640" spans="10:44">
      <c r="J640" s="4">
        <v>630</v>
      </c>
      <c r="K640" s="20" t="s">
        <v>48</v>
      </c>
      <c r="L640" s="2" t="s">
        <v>1342</v>
      </c>
      <c r="M640" s="4">
        <v>1</v>
      </c>
      <c r="N640" s="4" t="s">
        <v>1343</v>
      </c>
      <c r="O640" s="21" t="str">
        <f t="shared" si="16"/>
        <v>Time to UNSUBSCRIBE from Disney+, Netflix, etc!</v>
      </c>
      <c r="P640" s="11" t="s">
        <v>175</v>
      </c>
      <c r="AR640" s="11">
        <f>SUBTOTAL(3,_xlfn.SINGLE(tbl_pros[RowId]))</f>
        <v>1</v>
      </c>
    </row>
    <row r="641" spans="10:44">
      <c r="J641" s="4">
        <v>631</v>
      </c>
      <c r="K641" s="20" t="s">
        <v>48</v>
      </c>
      <c r="L641" s="2" t="s">
        <v>1344</v>
      </c>
      <c r="M641" s="4">
        <v>1</v>
      </c>
      <c r="N641" s="4" t="s">
        <v>1345</v>
      </c>
      <c r="O641" s="21" t="str">
        <f t="shared" si="16"/>
        <v>Time to UNSUBSCRIBE from Disney+, Netflix, etc!</v>
      </c>
      <c r="P641" s="11" t="s">
        <v>175</v>
      </c>
      <c r="AR641" s="11">
        <f>SUBTOTAL(3,_xlfn.SINGLE(tbl_pros[RowId]))</f>
        <v>1</v>
      </c>
    </row>
    <row r="642" spans="10:44">
      <c r="J642" s="4">
        <v>632</v>
      </c>
      <c r="K642" s="20" t="s">
        <v>48</v>
      </c>
      <c r="L642" s="2" t="s">
        <v>1346</v>
      </c>
      <c r="M642" s="4">
        <v>1</v>
      </c>
      <c r="N642" s="4" t="s">
        <v>1347</v>
      </c>
      <c r="O642" s="21" t="str">
        <f t="shared" si="16"/>
        <v>Time to UNSUBSCRIBE from Disney+, Netflix, etc!</v>
      </c>
      <c r="P642" s="11" t="s">
        <v>175</v>
      </c>
      <c r="AR642" s="11">
        <f>SUBTOTAL(3,_xlfn.SINGLE(tbl_pros[RowId]))</f>
        <v>1</v>
      </c>
    </row>
    <row r="643" spans="10:44">
      <c r="J643" s="4">
        <v>633</v>
      </c>
      <c r="K643" s="20" t="s">
        <v>48</v>
      </c>
      <c r="L643" s="2" t="s">
        <v>1348</v>
      </c>
      <c r="M643" s="4">
        <v>1</v>
      </c>
      <c r="N643" s="4" t="s">
        <v>1349</v>
      </c>
      <c r="O643" s="21" t="str">
        <f t="shared" si="16"/>
        <v>Time to UNSUBSCRIBE from Disney+, Netflix, etc!</v>
      </c>
      <c r="P643" s="11" t="s">
        <v>175</v>
      </c>
      <c r="AR643" s="11">
        <f>SUBTOTAL(3,_xlfn.SINGLE(tbl_pros[RowId]))</f>
        <v>1</v>
      </c>
    </row>
    <row r="644" spans="10:44">
      <c r="J644" s="4">
        <v>634</v>
      </c>
      <c r="K644" s="20" t="s">
        <v>48</v>
      </c>
      <c r="L644" s="2" t="s">
        <v>1350</v>
      </c>
      <c r="M644" s="4">
        <v>1</v>
      </c>
      <c r="N644" s="4" t="s">
        <v>1351</v>
      </c>
      <c r="O644" s="21" t="str">
        <f t="shared" si="16"/>
        <v>Time to UNSUBSCRIBE from Disney+, Netflix, etc!</v>
      </c>
      <c r="P644" s="11" t="s">
        <v>175</v>
      </c>
      <c r="AR644" s="11">
        <f>SUBTOTAL(3,_xlfn.SINGLE(tbl_pros[RowId]))</f>
        <v>1</v>
      </c>
    </row>
    <row r="645" spans="10:44">
      <c r="J645" s="4">
        <v>635</v>
      </c>
      <c r="K645" s="20" t="s">
        <v>48</v>
      </c>
      <c r="L645" s="2" t="s">
        <v>1352</v>
      </c>
      <c r="M645" s="4">
        <v>1</v>
      </c>
      <c r="N645" s="4" t="s">
        <v>1353</v>
      </c>
      <c r="O645" s="21" t="str">
        <f t="shared" si="16"/>
        <v>Time to UNSUBSCRIBE from Disney+, Netflix, etc!</v>
      </c>
      <c r="P645" s="11" t="s">
        <v>175</v>
      </c>
      <c r="AR645" s="11">
        <f>SUBTOTAL(3,_xlfn.SINGLE(tbl_pros[RowId]))</f>
        <v>1</v>
      </c>
    </row>
    <row r="646" spans="10:44">
      <c r="J646" s="4">
        <v>636</v>
      </c>
      <c r="K646" s="20" t="s">
        <v>48</v>
      </c>
      <c r="L646" s="2" t="s">
        <v>1354</v>
      </c>
      <c r="M646" s="4">
        <v>1</v>
      </c>
      <c r="N646" s="4" t="s">
        <v>1355</v>
      </c>
      <c r="O646" s="21" t="str">
        <f t="shared" si="16"/>
        <v>Time to UNSUBSCRIBE from Disney+, Netflix, etc!</v>
      </c>
      <c r="P646" s="11" t="s">
        <v>175</v>
      </c>
      <c r="AR646" s="11">
        <f>SUBTOTAL(3,_xlfn.SINGLE(tbl_pros[RowId]))</f>
        <v>1</v>
      </c>
    </row>
    <row r="647" spans="10:44">
      <c r="J647" s="4">
        <v>637</v>
      </c>
      <c r="K647" s="20" t="s">
        <v>48</v>
      </c>
      <c r="L647" s="2" t="s">
        <v>1356</v>
      </c>
      <c r="M647" s="4">
        <v>1</v>
      </c>
      <c r="N647" s="4" t="s">
        <v>1357</v>
      </c>
      <c r="O647" s="21" t="str">
        <f t="shared" si="16"/>
        <v>Time to UNSUBSCRIBE from Disney+, Netflix, etc!</v>
      </c>
      <c r="P647" s="11" t="s">
        <v>175</v>
      </c>
      <c r="AR647" s="11">
        <f>SUBTOTAL(3,_xlfn.SINGLE(tbl_pros[RowId]))</f>
        <v>1</v>
      </c>
    </row>
    <row r="648" spans="10:44">
      <c r="J648" s="4">
        <v>638</v>
      </c>
      <c r="K648" s="20" t="s">
        <v>48</v>
      </c>
      <c r="L648" s="2" t="s">
        <v>1358</v>
      </c>
      <c r="M648" s="4">
        <v>1</v>
      </c>
      <c r="N648" s="4" t="s">
        <v>1359</v>
      </c>
      <c r="O648" s="21" t="str">
        <f t="shared" ref="O648:O667" si="17">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P648" s="11" t="s">
        <v>175</v>
      </c>
      <c r="AR648" s="11">
        <f>SUBTOTAL(3,_xlfn.SINGLE(tbl_pros[RowId]))</f>
        <v>1</v>
      </c>
    </row>
    <row r="649" spans="10:44">
      <c r="J649" s="4">
        <v>639</v>
      </c>
      <c r="K649" s="20" t="s">
        <v>48</v>
      </c>
      <c r="L649" s="2" t="s">
        <v>1360</v>
      </c>
      <c r="M649" s="4">
        <v>1</v>
      </c>
      <c r="N649" s="4" t="s">
        <v>1361</v>
      </c>
      <c r="O649" s="21" t="str">
        <f t="shared" si="17"/>
        <v>US Presidents 1789 - 1817 Washington, Adams, Jefferson &amp; Madison Documentary</v>
      </c>
      <c r="P649" s="11" t="s">
        <v>175</v>
      </c>
      <c r="AR649" s="11">
        <f>SUBTOTAL(3,_xlfn.SINGLE(tbl_pros[RowId]))</f>
        <v>1</v>
      </c>
    </row>
    <row r="650" spans="10:44">
      <c r="J650" s="4">
        <v>640</v>
      </c>
      <c r="K650" s="20" t="s">
        <v>48</v>
      </c>
      <c r="L650" s="2" t="s">
        <v>1362</v>
      </c>
      <c r="M650" s="4">
        <v>1</v>
      </c>
      <c r="N650" s="4" t="s">
        <v>1363</v>
      </c>
      <c r="O650" s="21" t="str">
        <f t="shared" si="17"/>
        <v>US Presidents 1789 - 1817 Washington, Adams, Jefferson &amp; Madison Documentary</v>
      </c>
      <c r="P650" s="11" t="s">
        <v>175</v>
      </c>
      <c r="AR650" s="11">
        <f>SUBTOTAL(3,_xlfn.SINGLE(tbl_pros[RowId]))</f>
        <v>1</v>
      </c>
    </row>
    <row r="651" spans="10:44">
      <c r="J651" s="4">
        <v>641</v>
      </c>
      <c r="K651" s="20" t="s">
        <v>48</v>
      </c>
      <c r="L651" s="2" t="s">
        <v>1364</v>
      </c>
      <c r="M651" s="4">
        <v>1</v>
      </c>
      <c r="N651" s="4" t="s">
        <v>1365</v>
      </c>
      <c r="O651" s="21" t="str">
        <f t="shared" si="17"/>
        <v>US Presidents 1789 - 1817 Washington, Adams, Jefferson &amp; Madison Documentary</v>
      </c>
      <c r="P651" s="11" t="s">
        <v>175</v>
      </c>
      <c r="AR651" s="11">
        <f>SUBTOTAL(3,_xlfn.SINGLE(tbl_pros[RowId]))</f>
        <v>1</v>
      </c>
    </row>
    <row r="652" spans="10:44">
      <c r="J652" s="4">
        <v>642</v>
      </c>
      <c r="K652" s="20" t="s">
        <v>48</v>
      </c>
      <c r="L652" s="2" t="s">
        <v>1366</v>
      </c>
      <c r="M652" s="4">
        <v>1</v>
      </c>
      <c r="N652" s="4" t="s">
        <v>1367</v>
      </c>
      <c r="O652" s="21" t="str">
        <f t="shared" si="17"/>
        <v>US Presidents 1789 - 1817 Washington, Adams, Jefferson &amp; Madison Documentary</v>
      </c>
      <c r="P652" s="11" t="s">
        <v>175</v>
      </c>
      <c r="AR652" s="11">
        <f>SUBTOTAL(3,_xlfn.SINGLE(tbl_pros[RowId]))</f>
        <v>1</v>
      </c>
    </row>
    <row r="653" spans="10:44">
      <c r="J653" s="4">
        <v>643</v>
      </c>
      <c r="K653" s="20" t="s">
        <v>48</v>
      </c>
      <c r="L653" s="2" t="s">
        <v>1368</v>
      </c>
      <c r="M653" s="4">
        <v>1</v>
      </c>
      <c r="N653" s="4" t="s">
        <v>1369</v>
      </c>
      <c r="O653" s="21" t="str">
        <f t="shared" si="17"/>
        <v>US Presidents 1789 - 1817 Washington, Adams, Jefferson &amp; Madison Documentary</v>
      </c>
      <c r="P653" s="11" t="s">
        <v>175</v>
      </c>
      <c r="AR653" s="11">
        <f>SUBTOTAL(3,_xlfn.SINGLE(tbl_pros[RowId]))</f>
        <v>1</v>
      </c>
    </row>
    <row r="654" spans="10:44">
      <c r="J654" s="4">
        <v>644</v>
      </c>
      <c r="K654" s="20" t="s">
        <v>48</v>
      </c>
      <c r="L654" s="2" t="s">
        <v>1370</v>
      </c>
      <c r="M654" s="4">
        <v>1</v>
      </c>
      <c r="N654" s="4" t="s">
        <v>1371</v>
      </c>
      <c r="O654" s="21" t="str">
        <f t="shared" si="17"/>
        <v>US Presidents 1789 - 1817 Washington, Adams, Jefferson &amp; Madison Documentary</v>
      </c>
      <c r="P654" s="11" t="s">
        <v>175</v>
      </c>
      <c r="AR654" s="11">
        <f>SUBTOTAL(3,_xlfn.SINGLE(tbl_pros[RowId]))</f>
        <v>1</v>
      </c>
    </row>
    <row r="655" spans="10:44">
      <c r="J655" s="4">
        <v>645</v>
      </c>
      <c r="K655" s="20" t="s">
        <v>48</v>
      </c>
      <c r="L655" s="2" t="s">
        <v>1372</v>
      </c>
      <c r="M655" s="4">
        <v>1</v>
      </c>
      <c r="N655" s="4" t="s">
        <v>1373</v>
      </c>
      <c r="O655" s="21" t="str">
        <f t="shared" si="17"/>
        <v>US Presidents 1789 - 1817 Washington, Adams, Jefferson &amp; Madison Documentary</v>
      </c>
      <c r="P655" s="11" t="s">
        <v>175</v>
      </c>
      <c r="AR655" s="11">
        <f>SUBTOTAL(3,_xlfn.SINGLE(tbl_pros[RowId]))</f>
        <v>1</v>
      </c>
    </row>
    <row r="656" spans="10:44">
      <c r="J656" s="4">
        <v>646</v>
      </c>
      <c r="K656" s="20" t="s">
        <v>48</v>
      </c>
      <c r="L656" s="2" t="s">
        <v>1374</v>
      </c>
      <c r="M656" s="4">
        <v>1</v>
      </c>
      <c r="N656" s="4" t="s">
        <v>1375</v>
      </c>
      <c r="O656" s="21" t="str">
        <f t="shared" si="17"/>
        <v>US Presidents 1789 - 1817 Washington, Adams, Jefferson &amp; Madison Documentary</v>
      </c>
      <c r="P656" s="11" t="s">
        <v>175</v>
      </c>
      <c r="AR656" s="11">
        <f>SUBTOTAL(3,_xlfn.SINGLE(tbl_pros[RowId]))</f>
        <v>1</v>
      </c>
    </row>
    <row r="657" spans="10:44">
      <c r="J657" s="4">
        <v>647</v>
      </c>
      <c r="K657" s="20" t="s">
        <v>48</v>
      </c>
      <c r="L657" s="2" t="s">
        <v>1376</v>
      </c>
      <c r="M657" s="4">
        <v>1</v>
      </c>
      <c r="N657" s="4" t="s">
        <v>1377</v>
      </c>
      <c r="O657" s="21" t="str">
        <f t="shared" si="17"/>
        <v>US Presidents 1789 - 1817 Washington, Adams, Jefferson &amp; Madison Documentary</v>
      </c>
      <c r="P657" s="11" t="s">
        <v>175</v>
      </c>
      <c r="AR657" s="11">
        <f>SUBTOTAL(3,_xlfn.SINGLE(tbl_pros[RowId]))</f>
        <v>1</v>
      </c>
    </row>
    <row r="658" spans="10:44">
      <c r="J658" s="4">
        <v>648</v>
      </c>
      <c r="K658" s="20" t="s">
        <v>48</v>
      </c>
      <c r="L658" s="2" t="s">
        <v>1378</v>
      </c>
      <c r="M658" s="4">
        <v>1</v>
      </c>
      <c r="N658" s="4" t="s">
        <v>1379</v>
      </c>
      <c r="O658" s="21" t="str">
        <f t="shared" si="17"/>
        <v>US Presidents 1789 - 1817 Washington, Adams, Jefferson &amp; Madison Documentary</v>
      </c>
      <c r="P658" s="11" t="s">
        <v>175</v>
      </c>
      <c r="AR658" s="11">
        <f>SUBTOTAL(3,_xlfn.SINGLE(tbl_pros[RowId]))</f>
        <v>1</v>
      </c>
    </row>
    <row r="659" spans="10:44">
      <c r="J659" s="4">
        <v>649</v>
      </c>
      <c r="K659" s="20" t="s">
        <v>48</v>
      </c>
      <c r="L659" s="2" t="s">
        <v>332</v>
      </c>
      <c r="M659" s="4">
        <v>1</v>
      </c>
      <c r="N659" s="4" t="s">
        <v>1380</v>
      </c>
      <c r="O659" s="21" t="str">
        <f t="shared" si="17"/>
        <v>US Presidents 1789 - 1817 Washington, Adams, Jefferson &amp; Madison Documentary</v>
      </c>
      <c r="P659" s="11" t="s">
        <v>175</v>
      </c>
      <c r="AR659" s="11">
        <f>SUBTOTAL(3,_xlfn.SINGLE(tbl_pros[RowId]))</f>
        <v>1</v>
      </c>
    </row>
    <row r="660" spans="10:44">
      <c r="J660" s="4">
        <v>650</v>
      </c>
      <c r="K660" s="20" t="s">
        <v>48</v>
      </c>
      <c r="L660" s="2" t="s">
        <v>1381</v>
      </c>
      <c r="M660" s="4">
        <v>1</v>
      </c>
      <c r="N660" s="4" t="s">
        <v>1382</v>
      </c>
      <c r="O660" s="21" t="str">
        <f t="shared" si="17"/>
        <v>US Presidents 1789 - 1817 Washington, Adams, Jefferson &amp; Madison Documentary</v>
      </c>
      <c r="P660" s="11" t="s">
        <v>175</v>
      </c>
      <c r="AR660" s="11">
        <f>SUBTOTAL(3,_xlfn.SINGLE(tbl_pros[RowId]))</f>
        <v>1</v>
      </c>
    </row>
    <row r="661" spans="10:44">
      <c r="J661" s="4">
        <v>651</v>
      </c>
      <c r="K661" s="20" t="s">
        <v>48</v>
      </c>
      <c r="L661" s="2" t="s">
        <v>1383</v>
      </c>
      <c r="M661" s="4">
        <v>1</v>
      </c>
      <c r="N661" s="4" t="s">
        <v>1384</v>
      </c>
      <c r="O661" s="21" t="str">
        <f t="shared" si="17"/>
        <v>US Presidents 1789 - 1817 Washington, Adams, Jefferson &amp; Madison Documentary</v>
      </c>
      <c r="P661" s="11" t="s">
        <v>175</v>
      </c>
      <c r="AR661" s="11">
        <f>SUBTOTAL(3,_xlfn.SINGLE(tbl_pros[RowId]))</f>
        <v>1</v>
      </c>
    </row>
    <row r="662" spans="10:44">
      <c r="J662" s="4">
        <v>652</v>
      </c>
      <c r="K662" s="20" t="s">
        <v>48</v>
      </c>
      <c r="L662" s="2" t="s">
        <v>1385</v>
      </c>
      <c r="M662" s="4">
        <v>1</v>
      </c>
      <c r="N662" s="4" t="s">
        <v>1386</v>
      </c>
      <c r="O662" s="21" t="str">
        <f t="shared" si="17"/>
        <v>US Presidents 1789 - 1817 Washington, Adams, Jefferson &amp; Madison Documentary</v>
      </c>
      <c r="P662" s="11" t="s">
        <v>175</v>
      </c>
      <c r="AR662" s="11">
        <f>SUBTOTAL(3,_xlfn.SINGLE(tbl_pros[RowId]))</f>
        <v>1</v>
      </c>
    </row>
    <row r="663" spans="10:44">
      <c r="J663" s="4">
        <v>653</v>
      </c>
      <c r="K663" s="20" t="s">
        <v>48</v>
      </c>
      <c r="L663" s="2" t="s">
        <v>1387</v>
      </c>
      <c r="M663" s="4">
        <v>1</v>
      </c>
      <c r="N663" s="4" t="s">
        <v>1388</v>
      </c>
      <c r="O663" s="21" t="str">
        <f t="shared" si="17"/>
        <v>US Presidents 1789 - 1817 Washington, Adams, Jefferson &amp; Madison Documentary</v>
      </c>
      <c r="P663" s="11" t="s">
        <v>175</v>
      </c>
      <c r="AR663" s="11">
        <f>SUBTOTAL(3,_xlfn.SINGLE(tbl_pros[RowId]))</f>
        <v>1</v>
      </c>
    </row>
    <row r="664" spans="10:44">
      <c r="J664" s="4">
        <v>654</v>
      </c>
      <c r="K664" s="20" t="s">
        <v>48</v>
      </c>
      <c r="L664" s="2" t="s">
        <v>1389</v>
      </c>
      <c r="M664" s="4">
        <v>1</v>
      </c>
      <c r="N664" s="4" t="s">
        <v>1390</v>
      </c>
      <c r="O664" s="21" t="str">
        <f t="shared" si="17"/>
        <v>US Presidents 1789 - 1817 Washington, Adams, Jefferson &amp; Madison Documentary</v>
      </c>
      <c r="P664" s="11" t="s">
        <v>175</v>
      </c>
      <c r="AR664" s="11">
        <f>SUBTOTAL(3,_xlfn.SINGLE(tbl_pros[RowId]))</f>
        <v>1</v>
      </c>
    </row>
    <row r="665" spans="10:44">
      <c r="J665" s="4">
        <v>655</v>
      </c>
      <c r="K665" s="20" t="s">
        <v>48</v>
      </c>
      <c r="L665" s="2" t="s">
        <v>1391</v>
      </c>
      <c r="M665" s="4">
        <v>1</v>
      </c>
      <c r="N665" s="4" t="s">
        <v>1392</v>
      </c>
      <c r="O665" s="21" t="str">
        <f t="shared" si="17"/>
        <v>US Presidents 1789 - 1817 Washington, Adams, Jefferson &amp; Madison Documentary</v>
      </c>
      <c r="P665" s="11" t="s">
        <v>175</v>
      </c>
      <c r="AR665" s="11">
        <f>SUBTOTAL(3,_xlfn.SINGLE(tbl_pros[RowId]))</f>
        <v>1</v>
      </c>
    </row>
    <row r="666" spans="10:44">
      <c r="J666" s="4">
        <v>656</v>
      </c>
      <c r="K666" s="20" t="s">
        <v>48</v>
      </c>
      <c r="L666" s="2" t="s">
        <v>1393</v>
      </c>
      <c r="M666" s="4">
        <v>1</v>
      </c>
      <c r="N666" s="4" t="s">
        <v>1394</v>
      </c>
      <c r="O666" s="21" t="str">
        <f t="shared" si="17"/>
        <v>US Presidents 1789 - 1817 Washington, Adams, Jefferson &amp; Madison Documentary</v>
      </c>
      <c r="P666" s="11" t="s">
        <v>175</v>
      </c>
      <c r="AR666" s="11">
        <f>SUBTOTAL(3,_xlfn.SINGLE(tbl_pros[RowId]))</f>
        <v>1</v>
      </c>
    </row>
    <row r="667" spans="10:44">
      <c r="J667" s="4">
        <v>657</v>
      </c>
      <c r="K667" s="20" t="s">
        <v>48</v>
      </c>
      <c r="L667" s="2" t="s">
        <v>1395</v>
      </c>
      <c r="M667" s="4">
        <v>1</v>
      </c>
      <c r="N667" s="4" t="s">
        <v>1396</v>
      </c>
      <c r="O667" s="21" t="str">
        <f t="shared" si="17"/>
        <v>US Presidents 1789 - 1817 Washington, Adams, Jefferson &amp; Madison Documentary</v>
      </c>
      <c r="P667" s="11" t="s">
        <v>175</v>
      </c>
      <c r="AR667" s="11">
        <f>SUBTOTAL(3,_xlfn.SINGLE(tbl_pros[RowId]))</f>
        <v>1</v>
      </c>
    </row>
    <row r="668" spans="10:44">
      <c r="J668" s="4">
        <v>658</v>
      </c>
      <c r="K668" s="20" t="s">
        <v>48</v>
      </c>
      <c r="L668" s="2" t="s">
        <v>1397</v>
      </c>
      <c r="M668" s="4">
        <v>1</v>
      </c>
      <c r="N668" s="4" t="s">
        <v>1398</v>
      </c>
      <c r="O668" s="21" t="str">
        <f>HYPERLINK("obsidian://open?vault=o2&amp;file=Windows%2010%20and%2011%20Wont%20Boot%2C%20How%20To%20Fix%20UEFI%20Partition.md","Windows 10 and 11 Wont Boot, How To Fix UEFI Partition")</f>
        <v>Windows 10 and 11 Wont Boot, How To Fix UEFI Partition</v>
      </c>
      <c r="P668" s="11" t="s">
        <v>175</v>
      </c>
      <c r="AR668" s="11">
        <f>SUBTOTAL(3,_xlfn.SINGLE(tbl_pros[RowId]))</f>
        <v>1</v>
      </c>
    </row>
    <row r="669" spans="10:44">
      <c r="J669" s="4">
        <v>659</v>
      </c>
      <c r="K669" s="20" t="s">
        <v>48</v>
      </c>
      <c r="L669" s="2" t="s">
        <v>1399</v>
      </c>
      <c r="M669" s="4">
        <v>1</v>
      </c>
      <c r="N669" s="4" t="s">
        <v>1400</v>
      </c>
      <c r="O669" s="21" t="str">
        <f>HYPERLINK("obsidian://open?vault=o2&amp;file=Windows%2010%20and%2011%20Wont%20Boot%2C%20How%20To%20Fix%20UEFI%20Partition.md","Windows 10 and 11 Wont Boot, How To Fix UEFI Partition")</f>
        <v>Windows 10 and 11 Wont Boot, How To Fix UEFI Partition</v>
      </c>
      <c r="P669" s="11" t="s">
        <v>175</v>
      </c>
      <c r="AR669" s="11">
        <f>SUBTOTAL(3,_xlfn.SINGLE(tbl_pros[RowId]))</f>
        <v>1</v>
      </c>
    </row>
    <row r="670" spans="10:44">
      <c r="J670" s="4">
        <v>660</v>
      </c>
      <c r="K670" s="20" t="s">
        <v>48</v>
      </c>
      <c r="L670" s="2" t="s">
        <v>1401</v>
      </c>
      <c r="M670" s="4">
        <v>1</v>
      </c>
      <c r="N670" s="4" t="s">
        <v>1402</v>
      </c>
      <c r="O670" s="21" t="str">
        <f>HYPERLINK("obsidian://open?vault=o2&amp;file=Windows%2010%20and%2011%20Wont%20Boot%2C%20How%20To%20Fix%20UEFI%20Partition.md","Windows 10 and 11 Wont Boot, How To Fix UEFI Partition")</f>
        <v>Windows 10 and 11 Wont Boot, How To Fix UEFI Partition</v>
      </c>
      <c r="P670" s="11" t="s">
        <v>175</v>
      </c>
      <c r="AR670" s="11">
        <f>SUBTOTAL(3,_xlfn.SINGLE(tbl_pros[RowId]))</f>
        <v>1</v>
      </c>
    </row>
    <row r="671" spans="10:44">
      <c r="J671" s="4">
        <v>661</v>
      </c>
      <c r="K671" s="20" t="s">
        <v>48</v>
      </c>
      <c r="L671" s="2" t="s">
        <v>1403</v>
      </c>
      <c r="M671" s="4">
        <v>1</v>
      </c>
      <c r="N671" s="4" t="s">
        <v>1404</v>
      </c>
      <c r="O671" s="21" t="str">
        <f>HYPERLINK("obsidian://open?vault=o2&amp;file=Windows%2010%20and%2011%20Wont%20Boot%2C%20How%20To%20Fix%20UEFI%20Partition.md","Windows 10 and 11 Wont Boot, How To Fix UEFI Partition")</f>
        <v>Windows 10 and 11 Wont Boot, How To Fix UEFI Partition</v>
      </c>
      <c r="P671" s="11" t="s">
        <v>175</v>
      </c>
      <c r="AR671" s="11">
        <f>SUBTOTAL(3,_xlfn.SINGLE(tbl_pros[RowId]))</f>
        <v>1</v>
      </c>
    </row>
    <row r="672" spans="10:44">
      <c r="J672" s="4">
        <v>662</v>
      </c>
      <c r="K672" s="20" t="s">
        <v>48</v>
      </c>
      <c r="L672" s="2" t="s">
        <v>1405</v>
      </c>
      <c r="M672" s="4">
        <v>1</v>
      </c>
      <c r="N672" s="4" t="s">
        <v>1406</v>
      </c>
      <c r="O672" s="21" t="str">
        <f>HYPERLINK("obsidian://open?vault=o2&amp;file=Windows%2010%20and%2011%20Wont%20Boot%2C%20How%20To%20Fix%20UEFI%20Partition.md","Windows 10 and 11 Wont Boot, How To Fix UEFI Partition")</f>
        <v>Windows 10 and 11 Wont Boot, How To Fix UEFI Partition</v>
      </c>
      <c r="P672" s="11" t="s">
        <v>175</v>
      </c>
      <c r="AR672" s="11">
        <f>SUBTOTAL(3,_xlfn.SINGLE(tbl_pros[RowId]))</f>
        <v>1</v>
      </c>
    </row>
    <row r="673" spans="10:44">
      <c r="J673" s="4">
        <v>663</v>
      </c>
      <c r="K673" s="20" t="s">
        <v>48</v>
      </c>
      <c r="L673" s="2" t="s">
        <v>1407</v>
      </c>
      <c r="M673" s="4">
        <v>1</v>
      </c>
      <c r="N673" s="4" t="s">
        <v>1408</v>
      </c>
      <c r="O673" s="21" t="str">
        <f>HYPERLINK("obsidian://open?vault=o2&amp;file=Blooms%20Taxonomy-Higher%20Order%20Thinking.md","Blooms Taxonomy-Higher Order Thinking")</f>
        <v>Blooms Taxonomy-Higher Order Thinking</v>
      </c>
      <c r="P673" s="11" t="s">
        <v>175</v>
      </c>
      <c r="AR673" s="11">
        <f>SUBTOTAL(3,_xlfn.SINGLE(tbl_pros[RowId]))</f>
        <v>1</v>
      </c>
    </row>
    <row r="674" spans="10:44">
      <c r="J674" s="4">
        <v>664</v>
      </c>
      <c r="K674" s="20" t="s">
        <v>48</v>
      </c>
      <c r="L674" s="2" t="s">
        <v>1409</v>
      </c>
      <c r="M674" s="4">
        <v>1</v>
      </c>
      <c r="N674" s="4" t="s">
        <v>1410</v>
      </c>
      <c r="O674" s="21" t="str">
        <f>HYPERLINK("obsidian://open?vault=o2&amp;file=Blooms%20Taxonomy-Higher%20Order%20Thinking.md","Blooms Taxonomy-Higher Order Thinking")</f>
        <v>Blooms Taxonomy-Higher Order Thinking</v>
      </c>
      <c r="P674" s="11" t="s">
        <v>175</v>
      </c>
      <c r="AR674" s="11">
        <f>SUBTOTAL(3,_xlfn.SINGLE(tbl_pros[RowId]))</f>
        <v>1</v>
      </c>
    </row>
    <row r="675" spans="10:44">
      <c r="J675" s="4">
        <v>665</v>
      </c>
      <c r="K675" s="20" t="s">
        <v>48</v>
      </c>
      <c r="L675" s="2" t="s">
        <v>1411</v>
      </c>
      <c r="M675" s="4">
        <v>1</v>
      </c>
      <c r="N675" s="4" t="s">
        <v>1412</v>
      </c>
      <c r="O675" s="21" t="str">
        <f>HYPERLINK("obsidian://open?vault=o2&amp;file=Blooms%20Taxonomy-Higher%20Order%20Thinking.md","Blooms Taxonomy-Higher Order Thinking")</f>
        <v>Blooms Taxonomy-Higher Order Thinking</v>
      </c>
      <c r="P675" s="11" t="s">
        <v>175</v>
      </c>
      <c r="AR675" s="11">
        <f>SUBTOTAL(3,_xlfn.SINGLE(tbl_pros[RowId]))</f>
        <v>1</v>
      </c>
    </row>
    <row r="676" spans="10:44">
      <c r="J676" s="4">
        <v>666</v>
      </c>
      <c r="K676" s="20" t="s">
        <v>48</v>
      </c>
      <c r="L676" s="2" t="s">
        <v>1413</v>
      </c>
      <c r="M676" s="4">
        <v>1</v>
      </c>
      <c r="N676" s="4" t="s">
        <v>1414</v>
      </c>
      <c r="O676" s="21" t="str">
        <f>HYPERLINK("obsidian://open?vault=o2&amp;file=MCL%20Multi%20Column.md","MCL Multi Column")</f>
        <v>MCL Multi Column</v>
      </c>
      <c r="P676" s="11" t="s">
        <v>175</v>
      </c>
      <c r="AR676" s="11">
        <f>SUBTOTAL(3,_xlfn.SINGLE(tbl_pros[RowId]))</f>
        <v>1</v>
      </c>
    </row>
    <row r="677" spans="10:44">
      <c r="J677" s="4">
        <v>667</v>
      </c>
      <c r="K677" s="20" t="s">
        <v>48</v>
      </c>
      <c r="L677" s="2" t="s">
        <v>1415</v>
      </c>
      <c r="M677" s="4">
        <v>1</v>
      </c>
      <c r="N677" s="4" t="s">
        <v>1416</v>
      </c>
      <c r="O677" s="21" t="str">
        <f>HYPERLINK("obsidian://open?vault=o2&amp;file=MCL%20Multi%20Column.md","MCL Multi Column")</f>
        <v>MCL Multi Column</v>
      </c>
      <c r="P677" s="11" t="s">
        <v>175</v>
      </c>
      <c r="AR677" s="11">
        <f>SUBTOTAL(3,_xlfn.SINGLE(tbl_pros[RowId]))</f>
        <v>1</v>
      </c>
    </row>
    <row r="678" spans="10:44">
      <c r="J678" s="4">
        <v>668</v>
      </c>
      <c r="K678" s="20" t="s">
        <v>48</v>
      </c>
      <c r="L678" s="2" t="s">
        <v>1417</v>
      </c>
      <c r="M678" s="4">
        <v>1</v>
      </c>
      <c r="N678" s="4" t="s">
        <v>1418</v>
      </c>
      <c r="O678" s="21" t="str">
        <f>HYPERLINK("obsidian://open?vault=o2&amp;file=MCL%20Multi%20Column.md","MCL Multi Column")</f>
        <v>MCL Multi Column</v>
      </c>
      <c r="P678" s="11" t="s">
        <v>175</v>
      </c>
      <c r="AR678" s="11">
        <f>SUBTOTAL(3,_xlfn.SINGLE(tbl_pros[RowId]))</f>
        <v>1</v>
      </c>
    </row>
    <row r="679" spans="10:44">
      <c r="J679" s="4">
        <v>669</v>
      </c>
      <c r="K679" s="20" t="s">
        <v>48</v>
      </c>
      <c r="L679" s="2" t="s">
        <v>1419</v>
      </c>
      <c r="M679" s="4">
        <v>1</v>
      </c>
      <c r="N679" s="4" t="s">
        <v>1420</v>
      </c>
      <c r="O679" s="21" t="str">
        <f>HYPERLINK("obsidian://open?vault=o2&amp;file=MCL%20Multi%20Column.md","MCL Multi Column")</f>
        <v>MCL Multi Column</v>
      </c>
      <c r="P679" s="11" t="s">
        <v>175</v>
      </c>
      <c r="AR679" s="11">
        <f>SUBTOTAL(3,_xlfn.SINGLE(tbl_pros[RowId]))</f>
        <v>1</v>
      </c>
    </row>
    <row r="680" spans="10:44">
      <c r="J680" s="4">
        <v>670</v>
      </c>
      <c r="K680" s="20" t="s">
        <v>48</v>
      </c>
      <c r="L680" s="2" t="s">
        <v>1421</v>
      </c>
      <c r="M680" s="4">
        <v>2</v>
      </c>
      <c r="N680" s="4" t="s">
        <v>1422</v>
      </c>
      <c r="O680" s="21" t="str">
        <f>HYPERLINK("obsidian://open?vault=o2&amp;file=Firefox%20Privacy%20Settings.md","Firefox Privacy Settings")</f>
        <v>Firefox Privacy Settings</v>
      </c>
      <c r="P680" s="11" t="s">
        <v>175</v>
      </c>
      <c r="Q680" s="21" t="str">
        <f>HYPERLINK("obsidian://open?vault=o2&amp;file=Firefox%20Privacy%20Settings.md","Firefox Privacy Settings")</f>
        <v>Firefox Privacy Settings</v>
      </c>
      <c r="R680" s="11" t="s">
        <v>175</v>
      </c>
      <c r="AR680" s="11">
        <f>SUBTOTAL(3,_xlfn.SINGLE(tbl_pros[RowId]))</f>
        <v>1</v>
      </c>
    </row>
    <row r="681" spans="10:44">
      <c r="J681" s="4">
        <v>671</v>
      </c>
      <c r="K681" s="20" t="s">
        <v>48</v>
      </c>
      <c r="L681" s="2" t="s">
        <v>1423</v>
      </c>
      <c r="M681" s="4">
        <v>1</v>
      </c>
      <c r="N681" s="4" t="s">
        <v>1424</v>
      </c>
      <c r="O681" s="21" t="str">
        <f>HYPERLINK("obsidian://open?vault=o2&amp;file=Sex%20on%20the%20Beach.md","Sex on the Beach")</f>
        <v>Sex on the Beach</v>
      </c>
      <c r="P681" s="11" t="s">
        <v>175</v>
      </c>
      <c r="AR681" s="11">
        <f>SUBTOTAL(3,_xlfn.SINGLE(tbl_pros[RowId]))</f>
        <v>1</v>
      </c>
    </row>
    <row r="682" spans="10:44">
      <c r="J682" s="4">
        <v>672</v>
      </c>
      <c r="K682" s="20" t="s">
        <v>49</v>
      </c>
      <c r="L682" s="2">
        <v>100</v>
      </c>
      <c r="M682" s="4">
        <v>1</v>
      </c>
      <c r="N682" s="4" t="s">
        <v>1425</v>
      </c>
      <c r="O682" s="21" t="str">
        <f>HYPERLINK("obsidian://open?vault=o2&amp;file=projects.md","projects")</f>
        <v>projects</v>
      </c>
      <c r="P682" s="11" t="s">
        <v>175</v>
      </c>
      <c r="AR682" s="11">
        <f>SUBTOTAL(3,_xlfn.SINGLE(tbl_pros[RowId]))</f>
        <v>1</v>
      </c>
    </row>
    <row r="683" spans="10:44">
      <c r="J683" s="4">
        <v>673</v>
      </c>
      <c r="K683" s="20" t="s">
        <v>50</v>
      </c>
      <c r="L683" s="2" t="s">
        <v>1426</v>
      </c>
      <c r="M683" s="4">
        <v>13</v>
      </c>
      <c r="N683" s="4" t="s">
        <v>1427</v>
      </c>
      <c r="O683" s="21" t="str">
        <f>HYPERLINK("obsidian://open?vault=o2&amp;file=10th%20Step%20Homework.md","10th Step Homework")</f>
        <v>10th Step Homework</v>
      </c>
      <c r="P683" s="11" t="s">
        <v>175</v>
      </c>
      <c r="Q683" s="21" t="str">
        <f>HYPERLINK("obsidian://open?vault=o2&amp;file=Evergreen%20Notes.md","Evergreen Notes")</f>
        <v>Evergreen Notes</v>
      </c>
      <c r="R683" s="11" t="s">
        <v>175</v>
      </c>
      <c r="S683" s="21" t="str">
        <f>HYPERLINK("obsidian://open?vault=o2&amp;file=Maintain%20notes%20that%20you%20revisit.md","Maintain notes that you revisit")</f>
        <v>Maintain notes that you revisit</v>
      </c>
      <c r="T683" s="11" t="s">
        <v>175</v>
      </c>
      <c r="U683" s="21" t="str">
        <f>HYPERLINK("obsidian://open?vault=o2&amp;file=Managing%20and%20growing%20evergreen%20notes.md","Managing and growing evergreen notes")</f>
        <v>Managing and growing evergreen notes</v>
      </c>
      <c r="V683" s="11" t="s">
        <v>175</v>
      </c>
      <c r="W683" s="21" t="str">
        <f>HYPERLINK("obsidian://open?vault=o2&amp;file=Managing%20appearance%20and%20theme.md","Managing appearance and theme")</f>
        <v>Managing appearance and theme</v>
      </c>
      <c r="X683" s="11" t="s">
        <v>175</v>
      </c>
      <c r="Y683" s="21" t="str">
        <f>HYPERLINK("obsidian://open?vault=o2&amp;file=Managing%20inputs.md","Managing inputs")</f>
        <v>Managing inputs</v>
      </c>
      <c r="Z683" s="11" t="s">
        <v>175</v>
      </c>
      <c r="AA683" s="21" t="str">
        <f>HYPERLINK("obsidian://open?vault=o2&amp;file=Managing%20projects.md","Managing projects")</f>
        <v>Managing projects</v>
      </c>
      <c r="AB683" s="11" t="s">
        <v>175</v>
      </c>
      <c r="AC683" s="21" t="str">
        <f>HYPERLINK("obsidian://open?vault=o2&amp;file=Managing%20tasks%20via%20kanbans.md","Managing tasks via kanbans")</f>
        <v>Managing tasks via kanbans</v>
      </c>
      <c r="AD683" s="11" t="s">
        <v>175</v>
      </c>
      <c r="AE683" s="21" t="str">
        <f>HYPERLINK("obsidian://open?vault=o2&amp;file=Managing%20tasks%20via%20Todoist.md","Managing tasks via Todoist")</f>
        <v>Managing tasks via Todoist</v>
      </c>
      <c r="AF683" s="11" t="s">
        <v>175</v>
      </c>
      <c r="AG683" s="21" t="str">
        <f>HYPERLINK("obsidian://open?vault=o2&amp;file=Managing%20thoughts%20and%20ideas.md","Managing thoughts and ideas")</f>
        <v>Managing thoughts and ideas</v>
      </c>
      <c r="AH683" s="11" t="s">
        <v>175</v>
      </c>
      <c r="AI683" s="21" t="str">
        <f>HYPERLINK("obsidian://open?vault=o2&amp;file=PARA%20Method%20in%20Obsidian%20MD.md","PARA Method in Obsidian MD")</f>
        <v>PARA Method in Obsidian MD</v>
      </c>
      <c r="AJ683" s="11" t="s">
        <v>175</v>
      </c>
      <c r="AK683" s="21" t="str">
        <f>HYPERLINK("obsidian://open?vault=o2&amp;file=Setting%20up%20periodic%20notes.md","Setting up periodic notes")</f>
        <v>Setting up periodic notes</v>
      </c>
      <c r="AL683" s="11" t="s">
        <v>175</v>
      </c>
      <c r="AM683" s="21" t="str">
        <f>HYPERLINK("obsidian://open?vault=o2&amp;file=Building%20a%20Second%20Brain%20Highlights.md","Building a Second Brain Highlights")</f>
        <v>Building a Second Brain Highlights</v>
      </c>
      <c r="AN683" s="11" t="s">
        <v>175</v>
      </c>
      <c r="AR683" s="11">
        <f>SUBTOTAL(3,_xlfn.SINGLE(tbl_pros[RowId]))</f>
        <v>1</v>
      </c>
    </row>
    <row r="684" spans="10:44">
      <c r="J684" s="4">
        <v>674</v>
      </c>
      <c r="K684" s="20" t="s">
        <v>50</v>
      </c>
      <c r="L684" s="2" t="s">
        <v>1428</v>
      </c>
      <c r="M684" s="4">
        <v>8</v>
      </c>
      <c r="N684" s="4" t="s">
        <v>1429</v>
      </c>
      <c r="O684" s="21" t="str">
        <f>HYPERLINK("obsidian://open?vault=o2&amp;file=10th%20Step%20Homework.md","10th Step Homework")</f>
        <v>10th Step Homework</v>
      </c>
      <c r="P684" s="11" t="s">
        <v>175</v>
      </c>
      <c r="Q684" s="21" t="str">
        <f>HYPERLINK("obsidian://open?vault=o2&amp;file=Evergreen%20Notes.md","Evergreen Notes")</f>
        <v>Evergreen Notes</v>
      </c>
      <c r="R684" s="11" t="s">
        <v>175</v>
      </c>
      <c r="S684" s="21" t="str">
        <f>HYPERLINK("obsidian://open?vault=o2&amp;file=John%27s%20Second%20Brain%20Subvault.md","John's Second Brain Subvault")</f>
        <v>John's Second Brain Subvault</v>
      </c>
      <c r="T684" s="11" t="s">
        <v>175</v>
      </c>
      <c r="U684" s="21" t="str">
        <f>HYPERLINK("obsidian://open?vault=o2&amp;file=Maintain%20notes%20that%20you%20revisit.md","Maintain notes that you revisit")</f>
        <v>Maintain notes that you revisit</v>
      </c>
      <c r="V684" s="11" t="s">
        <v>175</v>
      </c>
      <c r="W684" s="21" t="str">
        <f>HYPERLINK("obsidian://open?vault=o2&amp;file=Managing%20appearance%20and%20theme.md","Managing appearance and theme")</f>
        <v>Managing appearance and theme</v>
      </c>
      <c r="X684" s="11" t="s">
        <v>175</v>
      </c>
      <c r="Y684" s="21" t="str">
        <f>HYPERLINK("obsidian://open?vault=o2&amp;file=Managing%20inputs.md","Managing inputs")</f>
        <v>Managing inputs</v>
      </c>
      <c r="Z684" s="11" t="s">
        <v>175</v>
      </c>
      <c r="AA684" s="21" t="str">
        <f>HYPERLINK("obsidian://open?vault=o2&amp;file=Setting%20up%20periodic%20notes.md","Setting up periodic notes")</f>
        <v>Setting up periodic notes</v>
      </c>
      <c r="AB684" s="11" t="s">
        <v>175</v>
      </c>
      <c r="AC684" s="21" t="str">
        <f>HYPERLINK("obsidian://open?vault=o2&amp;file=Building%20a%20Second%20Brain%20Highlights.md","Building a Second Brain Highlights")</f>
        <v>Building a Second Brain Highlights</v>
      </c>
      <c r="AD684" s="11" t="s">
        <v>175</v>
      </c>
      <c r="AR684" s="11">
        <f>SUBTOTAL(3,_xlfn.SINGLE(tbl_pros[RowId]))</f>
        <v>1</v>
      </c>
    </row>
    <row r="685" spans="10:44">
      <c r="J685" s="4">
        <v>675</v>
      </c>
      <c r="K685" s="20" t="s">
        <v>50</v>
      </c>
      <c r="L685" s="2" t="s">
        <v>1430</v>
      </c>
      <c r="M685" s="4">
        <v>2</v>
      </c>
      <c r="N685" s="4" t="s">
        <v>1431</v>
      </c>
      <c r="O685" s="21" t="str">
        <f>HYPERLINK("obsidian://open?vault=o2&amp;file=10th%20Step%20Homework.md","10th Step Homework")</f>
        <v>10th Step Homework</v>
      </c>
      <c r="P685" s="11" t="s">
        <v>175</v>
      </c>
      <c r="Q685" s="21" t="str">
        <f>HYPERLINK("obsidian://open?vault=o2&amp;file=Vault%20Overview.md","Vault Overview")</f>
        <v>Vault Overview</v>
      </c>
      <c r="R685" s="11" t="s">
        <v>175</v>
      </c>
      <c r="AR685" s="11">
        <f>SUBTOTAL(3,_xlfn.SINGLE(tbl_pros[RowId]))</f>
        <v>1</v>
      </c>
    </row>
    <row r="686" spans="10:44">
      <c r="J686" s="4">
        <v>676</v>
      </c>
      <c r="K686" s="20" t="s">
        <v>50</v>
      </c>
      <c r="L686" s="2" t="s">
        <v>1432</v>
      </c>
      <c r="M686" s="4">
        <v>16</v>
      </c>
      <c r="N686" s="4" t="s">
        <v>1433</v>
      </c>
      <c r="O686" s="21" t="str">
        <f>HYPERLINK("obsidian://open?vault=o2&amp;file=10th%20Step%20Homework.md","10th Step Homework")</f>
        <v>10th Step Homework</v>
      </c>
      <c r="P686" s="11" t="s">
        <v>175</v>
      </c>
      <c r="Q686" s="21" t="str">
        <f>HYPERLINK("obsidian://open?vault=o2&amp;file=Evergreen%20Notes.md","Evergreen Notes")</f>
        <v>Evergreen Notes</v>
      </c>
      <c r="R686" s="11" t="s">
        <v>175</v>
      </c>
      <c r="S686" s="21" t="str">
        <f>HYPERLINK("obsidian://open?vault=o2&amp;file=John%27s%20Second%20Brain%20Subvault.md","John's Second Brain Subvault")</f>
        <v>John's Second Brain Subvault</v>
      </c>
      <c r="T686" s="11" t="s">
        <v>175</v>
      </c>
      <c r="U686" s="21" t="str">
        <f>HYPERLINK("obsidian://open?vault=o2&amp;file=Maintain%20notes%20that%20you%20revisit.md","Maintain notes that you revisit")</f>
        <v>Maintain notes that you revisit</v>
      </c>
      <c r="V686" s="11" t="s">
        <v>175</v>
      </c>
      <c r="W686" s="21" t="str">
        <f>HYPERLINK("obsidian://open?vault=o2&amp;file=Managing%20appearance%20and%20theme.md","Managing appearance and theme")</f>
        <v>Managing appearance and theme</v>
      </c>
      <c r="X686" s="11" t="s">
        <v>175</v>
      </c>
      <c r="Y686" s="21" t="str">
        <f>HYPERLINK("obsidian://open?vault=o2&amp;file=Managing%20daily%20and%20periodic%20notes.md","Managing daily and periodic notes")</f>
        <v>Managing daily and periodic notes</v>
      </c>
      <c r="Z686" s="11" t="s">
        <v>175</v>
      </c>
      <c r="AA686" s="21" t="str">
        <f>HYPERLINK("obsidian://open?vault=o2&amp;file=Managing%20inputs.md","Managing inputs")</f>
        <v>Managing inputs</v>
      </c>
      <c r="AB686" s="11" t="s">
        <v>175</v>
      </c>
      <c r="AC686" s="21" t="str">
        <f>HYPERLINK("obsidian://open?vault=o2&amp;file=My%20Hotkeys.md","My Hotkeys")</f>
        <v>My Hotkeys</v>
      </c>
      <c r="AD686" s="11" t="s">
        <v>175</v>
      </c>
      <c r="AE686" s="21" t="str">
        <f>HYPERLINK("obsidian://open?vault=o2&amp;file=My%20Plugins.md","My Plugins")</f>
        <v>My Plugins</v>
      </c>
      <c r="AF686" s="11" t="s">
        <v>175</v>
      </c>
      <c r="AG686" s="21" t="str">
        <f>HYPERLINK("obsidian://open?vault=o2&amp;file=My%20Workflows.md","My Workflows")</f>
        <v>My Workflows</v>
      </c>
      <c r="AH686" s="11" t="s">
        <v>175</v>
      </c>
      <c r="AI686" s="21" t="str">
        <f>HYPERLINK("obsidian://open?vault=o2&amp;file=Setting%20up%20periodic%20notes.md","Setting up periodic notes")</f>
        <v>Setting up periodic notes</v>
      </c>
      <c r="AJ686" s="11" t="s">
        <v>175</v>
      </c>
      <c r="AK686" s="21" t="str">
        <f>HYPERLINK("obsidian://open?vault=o2&amp;file=Template%20Debrief.md","Template Debrief")</f>
        <v>Template Debrief</v>
      </c>
      <c r="AL686" s="11" t="s">
        <v>175</v>
      </c>
      <c r="AM686" s="21" t="str">
        <f>HYPERLINK("obsidian://open?vault=o2&amp;file=Types%20of%20notes.md","Types of notes")</f>
        <v>Types of notes</v>
      </c>
      <c r="AN686" s="11" t="s">
        <v>175</v>
      </c>
      <c r="AO686" s="21" t="str">
        <f>HYPERLINK("obsidian://open?vault=o2&amp;file=Updating%20the%20vault%20to%20newer%20versions.md","Updating the vault to newer versions")</f>
        <v>Updating the vault to newer versions</v>
      </c>
      <c r="AP686" s="11" t="s">
        <v>175</v>
      </c>
      <c r="AQ686" s="21" t="str">
        <f>HYPERLINK("obsidian://open?vault=o2&amp;file=Vault%20Features.md","Vault Features")</f>
        <v>Vault Features</v>
      </c>
      <c r="AR686" s="11">
        <f>SUBTOTAL(3,_xlfn.SINGLE(tbl_pros[RowId]))</f>
        <v>1</v>
      </c>
    </row>
    <row r="687" spans="10:44">
      <c r="J687" s="4">
        <v>677</v>
      </c>
      <c r="K687" s="20" t="s">
        <v>50</v>
      </c>
      <c r="L687" s="2" t="s">
        <v>1434</v>
      </c>
      <c r="M687" s="4">
        <v>5</v>
      </c>
      <c r="N687" s="4" t="s">
        <v>1435</v>
      </c>
      <c r="O687" s="21" t="str">
        <f>HYPERLINK("obsidian://open?vault=o2&amp;file=10th%20Step%20Homework.md","10th Step Homework")</f>
        <v>10th Step Homework</v>
      </c>
      <c r="P687" s="11" t="s">
        <v>175</v>
      </c>
      <c r="Q687" s="21" t="str">
        <f>HYPERLINK("obsidian://open?vault=o2&amp;file=Maintain%20notes%20that%20you%20revisit.md","Maintain notes that you revisit")</f>
        <v>Maintain notes that you revisit</v>
      </c>
      <c r="R687" s="11" t="s">
        <v>175</v>
      </c>
      <c r="S687" s="21" t="str">
        <f>HYPERLINK("obsidian://open?vault=o2&amp;file=Managing%20appearance%20and%20theme.md","Managing appearance and theme")</f>
        <v>Managing appearance and theme</v>
      </c>
      <c r="T687" s="11" t="s">
        <v>175</v>
      </c>
      <c r="U687" s="21" t="str">
        <f>HYPERLINK("obsidian://open?vault=o2&amp;file=Managing%20inputs.md","Managing inputs")</f>
        <v>Managing inputs</v>
      </c>
      <c r="V687" s="11" t="s">
        <v>175</v>
      </c>
      <c r="W687" s="21" t="str">
        <f>HYPERLINK("obsidian://open?vault=o2&amp;file=Setting%20up%20periodic%20notes.md","Setting up periodic notes")</f>
        <v>Setting up periodic notes</v>
      </c>
      <c r="X687" s="11" t="s">
        <v>175</v>
      </c>
      <c r="AR687" s="11">
        <f>SUBTOTAL(3,_xlfn.SINGLE(tbl_pros[RowId]))</f>
        <v>1</v>
      </c>
    </row>
    <row r="688" spans="10:44">
      <c r="J688" s="4">
        <v>678</v>
      </c>
      <c r="K688" s="20" t="s">
        <v>50</v>
      </c>
      <c r="L688" s="2" t="s">
        <v>1436</v>
      </c>
      <c r="M688" s="4">
        <v>15</v>
      </c>
      <c r="N688" s="4" t="s">
        <v>1437</v>
      </c>
      <c r="O688" s="21" t="str">
        <f>HYPERLINK("obsidian://open?vault=o2&amp;file=12%20Favorite%20Problems.md","12 Favorite Problems")</f>
        <v>12 Favorite Problems</v>
      </c>
      <c r="P688" s="11" t="s">
        <v>175</v>
      </c>
      <c r="Q688" s="21" t="str">
        <f>HYPERLINK("obsidian://open?vault=o2&amp;file=BISAC%20Book%20Classifications.md","BISAC Book Classifications")</f>
        <v>BISAC Book Classifications</v>
      </c>
      <c r="R688" s="11" t="s">
        <v>175</v>
      </c>
      <c r="S688" s="21" t="str">
        <f>HYPERLINK("obsidian://open?vault=o2&amp;file=PARA%20Method.md","PARA Method")</f>
        <v>PARA Method</v>
      </c>
      <c r="T688" s="11" t="s">
        <v>175</v>
      </c>
      <c r="U688" s="21" t="str">
        <f>HYPERLINK("obsidian://open?vault=o2&amp;file=PKM%20Code%20Framework.md","PKM Code Framework")</f>
        <v>PKM Code Framework</v>
      </c>
      <c r="V688" s="11" t="s">
        <v>175</v>
      </c>
      <c r="W688" s="21" t="str">
        <f>HYPERLINK("obsidian://open?vault=o2&amp;file=PKM%20Maintenance.md","PKM Maintenance")</f>
        <v>PKM Maintenance</v>
      </c>
      <c r="X688" s="11" t="s">
        <v>175</v>
      </c>
      <c r="Y688" s="21" t="str">
        <f>HYPERLINK("obsidian://open?vault=o2&amp;file=Vim%20Cheatsheet.md","Vim Cheatsheet")</f>
        <v>Vim Cheatsheet</v>
      </c>
      <c r="Z688" s="11" t="s">
        <v>175</v>
      </c>
      <c r="AA688" s="21" t="str">
        <f>HYPERLINK("obsidian://open?vault=o2&amp;file=Zettelkasten.md","Zettelkasten")</f>
        <v>Zettelkasten</v>
      </c>
      <c r="AB688" s="11" t="s">
        <v>175</v>
      </c>
      <c r="AC688" s="21" t="str">
        <f>HYPERLINK("obsidian://open?vault=o2&amp;file=%E2%9A%92%EF%B8%8F%20FUN%20-%20Frequently%20Used%20Notes.md","⚒️ FUN - Frequently Used Notes")</f>
        <v>⚒️ FUN - Frequently Used Notes</v>
      </c>
      <c r="AD688" s="11" t="s">
        <v>175</v>
      </c>
      <c r="AE688" s="21" t="str">
        <f>HYPERLINK("obsidian://open?vault=o2&amp;file=%F0%9F%93%A5%20The%203-Part%20Daily%20Routine%20For%20Maximum%20Productivity.md","📥 The 3-Part Daily Routine For Maximum Productivity")</f>
        <v>📥 The 3-Part Daily Routine For Maximum Productivity</v>
      </c>
      <c r="AF688" s="11" t="s">
        <v>175</v>
      </c>
      <c r="AG688" s="21" t="str">
        <f>HYPERLINK("obsidian://open?vault=o2&amp;file=%F0%9F%97%BA%EF%B8%8F%20Maps%20of%20Content%20%28MOC%29.md","🗺️ Maps of Content (MOC)")</f>
        <v>🗺️ Maps of Content (MOC)</v>
      </c>
      <c r="AH688" s="11" t="s">
        <v>175</v>
      </c>
      <c r="AI688" s="21" t="str">
        <f>HYPERLINK("obsidian://open?vault=o2&amp;file=%F0%9F%97%BA%EF%B8%8F%20My%20MOCs.md","🗺️ My MOCs")</f>
        <v>🗺️ My MOCs</v>
      </c>
      <c r="AJ688" s="11" t="s">
        <v>175</v>
      </c>
      <c r="AK688" s="21" t="str">
        <f>HYPERLINK("obsidian://open?vault=o2&amp;file=%F0%9F%97%BA%EF%B8%8F%20My%20Tools%20MOC.md","🗺️ My Tools MOC")</f>
        <v>🗺️ My Tools MOC</v>
      </c>
      <c r="AL688" s="11" t="s">
        <v>175</v>
      </c>
      <c r="AM688" s="21" t="str">
        <f>HYPERLINK("obsidian://open?vault=o2&amp;file=%F0%9F%97%BA%EF%B8%8F%20Note%20Taking%20MOC.md","🗺️ Note Taking MOC")</f>
        <v>🗺️ Note Taking MOC</v>
      </c>
      <c r="AN688" s="11" t="s">
        <v>175</v>
      </c>
      <c r="AO688" s="21" t="str">
        <f>HYPERLINK("obsidian://open?vault=o2&amp;file=%F0%9F%97%BA%EF%B8%8F%20Obsidian%20MOC.md","🗺️ Obsidian MOC")</f>
        <v>🗺️ Obsidian MOC</v>
      </c>
      <c r="AP688" s="11" t="s">
        <v>175</v>
      </c>
      <c r="AQ688" s="21" t="str">
        <f>HYPERLINK("obsidian://open?vault=o2&amp;file=Templater%20Cheat%20Sheet.md","Templater Cheat Sheet")</f>
        <v>Templater Cheat Sheet</v>
      </c>
      <c r="AR688" s="11">
        <f>SUBTOTAL(3,_xlfn.SINGLE(tbl_pros[RowId]))</f>
        <v>1</v>
      </c>
    </row>
    <row r="689" spans="10:44">
      <c r="J689" s="4">
        <v>679</v>
      </c>
      <c r="K689" s="20" t="s">
        <v>50</v>
      </c>
      <c r="L689" s="2" t="s">
        <v>1438</v>
      </c>
      <c r="M689" s="4">
        <v>1</v>
      </c>
      <c r="N689" s="4" t="s">
        <v>1439</v>
      </c>
      <c r="O689" s="21" t="str">
        <f>HYPERLINK("obsidian://open?vault=o2&amp;file=50%20Best%20Christmas%20Movies.md","50 Best Christmas Movies")</f>
        <v>50 Best Christmas Movies</v>
      </c>
      <c r="P689" s="11" t="s">
        <v>175</v>
      </c>
      <c r="AR689" s="11">
        <f>SUBTOTAL(3,_xlfn.SINGLE(tbl_pros[RowId]))</f>
        <v>1</v>
      </c>
    </row>
    <row r="690" spans="10:44">
      <c r="J690" s="4">
        <v>680</v>
      </c>
      <c r="K690" s="20" t="s">
        <v>50</v>
      </c>
      <c r="L690" s="2" t="s">
        <v>1440</v>
      </c>
      <c r="M690" s="4">
        <v>1</v>
      </c>
      <c r="N690" s="4" t="s">
        <v>1441</v>
      </c>
      <c r="O690" s="21" t="str">
        <f>HYPERLINK("obsidian://open?vault=o2&amp;file=A%20copy%20of%20my%20userChrome.css%20as%20of%202023-02-04.md","A copy of my userChrome.css as of 2023-02-04")</f>
        <v>A copy of my userChrome.css as of 2023-02-04</v>
      </c>
      <c r="P690" s="11" t="s">
        <v>175</v>
      </c>
      <c r="AR690" s="11">
        <f>SUBTOTAL(3,_xlfn.SINGLE(tbl_pros[RowId]))</f>
        <v>1</v>
      </c>
    </row>
    <row r="691" spans="10:44">
      <c r="J691" s="4">
        <v>681</v>
      </c>
      <c r="K691" s="20" t="s">
        <v>50</v>
      </c>
      <c r="L691" s="2" t="s">
        <v>1442</v>
      </c>
      <c r="M691" s="4">
        <v>1</v>
      </c>
      <c r="N691" s="4" t="s">
        <v>1443</v>
      </c>
      <c r="O691" s="21" t="str">
        <f>HYPERLINK("obsidian://open?vault=o2&amp;file=A%20copy%20of%20my%20userChrome.css%20as%20of%202023-02-04.md","A copy of my userChrome.css as of 2023-02-04")</f>
        <v>A copy of my userChrome.css as of 2023-02-04</v>
      </c>
      <c r="P691" s="11" t="s">
        <v>175</v>
      </c>
      <c r="AR691" s="11">
        <f>SUBTOTAL(3,_xlfn.SINGLE(tbl_pros[RowId]))</f>
        <v>1</v>
      </c>
    </row>
    <row r="692" spans="10:44">
      <c r="J692" s="4">
        <v>682</v>
      </c>
      <c r="K692" s="20" t="s">
        <v>50</v>
      </c>
      <c r="L692" s="2" t="s">
        <v>1444</v>
      </c>
      <c r="M692" s="4">
        <v>2</v>
      </c>
      <c r="N692" s="4" t="s">
        <v>1445</v>
      </c>
      <c r="O692" s="21" t="str">
        <f>HYPERLINK("obsidian://open?vault=o2&amp;file=Applying%20information.md","Applying information")</f>
        <v>Applying information</v>
      </c>
      <c r="P692" s="11" t="s">
        <v>175</v>
      </c>
      <c r="Q692" s="21" t="str">
        <f>HYPERLINK("obsidian://open?vault=o2&amp;file=Organizing%20our%20notes.md","Organizing our notes")</f>
        <v>Organizing our notes</v>
      </c>
      <c r="R692" s="11" t="s">
        <v>175</v>
      </c>
      <c r="AR692" s="11">
        <f>SUBTOTAL(3,_xlfn.SINGLE(tbl_pros[RowId]))</f>
        <v>1</v>
      </c>
    </row>
    <row r="693" spans="10:44">
      <c r="J693" s="4">
        <v>683</v>
      </c>
      <c r="K693" s="20" t="s">
        <v>50</v>
      </c>
      <c r="L693" s="2" t="s">
        <v>1446</v>
      </c>
      <c r="M693" s="4">
        <v>1</v>
      </c>
      <c r="N693" s="4" t="s">
        <v>1447</v>
      </c>
      <c r="O693" s="21" t="str">
        <f>HYPERLINK("obsidian://open?vault=o2&amp;file=Bletchley%20Park%20interviews%20with%20IJ%20Good%20and%20Mickey.md","Bletchley Park interviews with IJ Good and Mickey")</f>
        <v>Bletchley Park interviews with IJ Good and Mickey</v>
      </c>
      <c r="P693" s="11" t="s">
        <v>175</v>
      </c>
      <c r="AR693" s="11">
        <f>SUBTOTAL(3,_xlfn.SINGLE(tbl_pros[RowId]))</f>
        <v>1</v>
      </c>
    </row>
    <row r="694" spans="10:44">
      <c r="J694" s="4">
        <v>684</v>
      </c>
      <c r="K694" s="20" t="s">
        <v>50</v>
      </c>
      <c r="L694" s="2" t="s">
        <v>1448</v>
      </c>
      <c r="M694" s="4">
        <v>9</v>
      </c>
      <c r="N694" s="4" t="s">
        <v>1449</v>
      </c>
      <c r="O694" s="21" t="str">
        <f>HYPERLINK("obsidian://open?vault=o2&amp;file=Business%20Name%20OSINT.md","Business Name OSINT")</f>
        <v>Business Name OSINT</v>
      </c>
      <c r="P694" s="11" t="s">
        <v>175</v>
      </c>
      <c r="Q694" s="21" t="str">
        <f>HYPERLINK("obsidian://open?vault=o2&amp;file=Email%20Address%20OSINT.md","Email Address OSINT")</f>
        <v>Email Address OSINT</v>
      </c>
      <c r="R694" s="11" t="s">
        <v>175</v>
      </c>
      <c r="S694" s="21" t="str">
        <f>HYPERLINK("obsidian://open?vault=o2&amp;file=Master%20OSINT%20Toolbox.md","Master OSINT Toolbox")</f>
        <v>Master OSINT Toolbox</v>
      </c>
      <c r="T694" s="11" t="s">
        <v>175</v>
      </c>
      <c r="U694" s="21" t="str">
        <f>HYPERLINK("obsidian://open?vault=o2&amp;file=Persons%20name%20OSINT.md","Persons name OSINT")</f>
        <v>Persons name OSINT</v>
      </c>
      <c r="V694" s="11" t="s">
        <v>175</v>
      </c>
      <c r="W694" s="21" t="str">
        <f>HYPERLINK("obsidian://open?vault=o2&amp;file=Phone%20Number%20OSINT.md","Phone Number OSINT")</f>
        <v>Phone Number OSINT</v>
      </c>
      <c r="X694" s="11" t="s">
        <v>175</v>
      </c>
      <c r="Y694" s="21" t="str">
        <f>HYPERLINK("obsidian://open?vault=o2&amp;file=Physical%20Address%20OSINT.md","Physical Address OSINT")</f>
        <v>Physical Address OSINT</v>
      </c>
      <c r="Z694" s="11" t="s">
        <v>175</v>
      </c>
      <c r="AA694" s="21" t="str">
        <f>HYPERLINK("obsidian://open?vault=o2&amp;file=Social%20Media%20OSINT.md","Social Media OSINT")</f>
        <v>Social Media OSINT</v>
      </c>
      <c r="AB694" s="11" t="s">
        <v>175</v>
      </c>
      <c r="AC694" s="21" t="str">
        <f>HYPERLINK("obsidian://open?vault=o2&amp;file=Username%20OSINT.md","Username OSINT")</f>
        <v>Username OSINT</v>
      </c>
      <c r="AD694" s="11" t="s">
        <v>175</v>
      </c>
      <c r="AE694" s="21" t="str">
        <f>HYPERLINK("obsidian://open?vault=o2&amp;file=Medications%20Log.md","Medications Log")</f>
        <v>Medications Log</v>
      </c>
      <c r="AF694" s="11" t="s">
        <v>175</v>
      </c>
      <c r="AR694" s="11">
        <f>SUBTOTAL(3,_xlfn.SINGLE(tbl_pros[RowId]))</f>
        <v>1</v>
      </c>
    </row>
    <row r="695" spans="10:44">
      <c r="J695" s="4">
        <v>685</v>
      </c>
      <c r="K695" s="20" t="s">
        <v>50</v>
      </c>
      <c r="L695" s="2" t="s">
        <v>1450</v>
      </c>
      <c r="M695" s="4">
        <v>3</v>
      </c>
      <c r="N695" s="4" t="s">
        <v>1451</v>
      </c>
      <c r="O695" s="21" t="str">
        <f>HYPERLINK("obsidian://open?vault=o2&amp;file=Capturing%20information.md","Capturing information")</f>
        <v>Capturing information</v>
      </c>
      <c r="P695" s="11" t="s">
        <v>175</v>
      </c>
      <c r="Q695" s="21" t="str">
        <f>HYPERLINK("obsidian://open?vault=o2&amp;file=PKM%20Code%20Framework%20in%20Obsidian%20MD.md","PKM Code Framework in Obsidian MD")</f>
        <v>PKM Code Framework in Obsidian MD</v>
      </c>
      <c r="R695" s="11" t="s">
        <v>175</v>
      </c>
      <c r="S695" s="21" t="str">
        <f>HYPERLINK("obsidian://open?vault=o2&amp;file=Summarizing%20Content.md","Summarizing Content")</f>
        <v>Summarizing Content</v>
      </c>
      <c r="T695" s="11" t="s">
        <v>175</v>
      </c>
      <c r="AR695" s="11">
        <f>SUBTOTAL(3,_xlfn.SINGLE(tbl_pros[RowId]))</f>
        <v>1</v>
      </c>
    </row>
    <row r="696" spans="10:44">
      <c r="J696" s="4">
        <v>686</v>
      </c>
      <c r="K696" s="20" t="s">
        <v>50</v>
      </c>
      <c r="L696" s="2" t="s">
        <v>1452</v>
      </c>
      <c r="M696" s="4">
        <v>1</v>
      </c>
      <c r="N696" s="4" t="s">
        <v>1453</v>
      </c>
      <c r="O696" s="21" t="str">
        <f>HYPERLINK("obsidian://open?vault=o2&amp;file=Colonoscopy%20Notes.md","Colonoscopy Notes")</f>
        <v>Colonoscopy Notes</v>
      </c>
      <c r="P696" s="11" t="s">
        <v>175</v>
      </c>
      <c r="AR696" s="11">
        <f>SUBTOTAL(3,_xlfn.SINGLE(tbl_pros[RowId]))</f>
        <v>1</v>
      </c>
    </row>
    <row r="697" spans="10:44">
      <c r="J697" s="4">
        <v>687</v>
      </c>
      <c r="K697" s="20" t="s">
        <v>50</v>
      </c>
      <c r="L697" s="2" t="s">
        <v>1454</v>
      </c>
      <c r="M697" s="4">
        <v>1</v>
      </c>
      <c r="N697" s="4" t="s">
        <v>1455</v>
      </c>
      <c r="O697" s="21" t="str">
        <f>HYPERLINK("obsidian://open?vault=o2&amp;file=Common%20cPanel%20Ports.md","Common cPanel Ports")</f>
        <v>Common cPanel Ports</v>
      </c>
      <c r="P697" s="11" t="s">
        <v>175</v>
      </c>
      <c r="AR697" s="11">
        <f>SUBTOTAL(3,_xlfn.SINGLE(tbl_pros[RowId]))</f>
        <v>1</v>
      </c>
    </row>
    <row r="698" spans="10:44">
      <c r="J698" s="4">
        <v>688</v>
      </c>
      <c r="K698" s="20" t="s">
        <v>50</v>
      </c>
      <c r="L698" s="2" t="s">
        <v>1456</v>
      </c>
      <c r="M698" s="4">
        <v>2</v>
      </c>
      <c r="N698" s="4" t="s">
        <v>1457</v>
      </c>
      <c r="O698" s="21" t="str">
        <f>HYPERLINK("obsidian://open?vault=o2&amp;file=Creating%20and%20tracking%20your%20own%20habits%20and%20statistics.md","Creating and tracking your own habits and statistics")</f>
        <v>Creating and tracking your own habits and statistics</v>
      </c>
      <c r="P698" s="11" t="s">
        <v>175</v>
      </c>
      <c r="Q698" s="21" t="str">
        <f>HYPERLINK("obsidian://open?vault=o2&amp;file=Embedding%20notes.md","Embedding notes")</f>
        <v>Embedding notes</v>
      </c>
      <c r="R698" s="11" t="s">
        <v>175</v>
      </c>
      <c r="AR698" s="11">
        <f>SUBTOTAL(3,_xlfn.SINGLE(tbl_pros[RowId]))</f>
        <v>1</v>
      </c>
    </row>
    <row r="699" spans="10:44">
      <c r="J699" s="4">
        <v>689</v>
      </c>
      <c r="K699" s="20" t="s">
        <v>50</v>
      </c>
      <c r="L699" s="2" t="s">
        <v>1458</v>
      </c>
      <c r="M699" s="4">
        <v>1</v>
      </c>
      <c r="N699" s="4" t="s">
        <v>1459</v>
      </c>
      <c r="O699" s="21" t="str">
        <f>HYPERLINK("obsidian://open?vault=o2&amp;file=Creating%20and%20tracking%20your%20own%20habits%20and%20statistics.md","Creating and tracking your own habits and statistics")</f>
        <v>Creating and tracking your own habits and statistics</v>
      </c>
      <c r="P699" s="11" t="s">
        <v>175</v>
      </c>
      <c r="AR699" s="11">
        <f>SUBTOTAL(3,_xlfn.SINGLE(tbl_pros[RowId]))</f>
        <v>1</v>
      </c>
    </row>
    <row r="700" spans="10:44">
      <c r="J700" s="4">
        <v>690</v>
      </c>
      <c r="K700" s="20" t="s">
        <v>50</v>
      </c>
      <c r="L700" s="2" t="s">
        <v>1460</v>
      </c>
      <c r="M700" s="4">
        <v>1</v>
      </c>
      <c r="N700" s="4" t="s">
        <v>1461</v>
      </c>
      <c r="O700" s="21" t="str">
        <f>HYPERLINK("obsidian://open?vault=o2&amp;file=Dataview%20cheat%20sheet.md","Dataview cheat sheet")</f>
        <v>Dataview cheat sheet</v>
      </c>
      <c r="P700" s="11" t="s">
        <v>175</v>
      </c>
      <c r="AR700" s="11">
        <f>SUBTOTAL(3,_xlfn.SINGLE(tbl_pros[RowId]))</f>
        <v>1</v>
      </c>
    </row>
    <row r="701" spans="10:44">
      <c r="J701" s="4">
        <v>691</v>
      </c>
      <c r="K701" s="20" t="s">
        <v>50</v>
      </c>
      <c r="L701" s="2" t="s">
        <v>1462</v>
      </c>
      <c r="M701" s="4">
        <v>1</v>
      </c>
      <c r="N701" s="4" t="s">
        <v>1463</v>
      </c>
      <c r="O701" s="21" t="str">
        <f>HYPERLINK("obsidian://open?vault=o2&amp;file=DataviewJS.md","DataviewJS")</f>
        <v>DataviewJS</v>
      </c>
      <c r="P701" s="11" t="s">
        <v>175</v>
      </c>
      <c r="AR701" s="11">
        <f>SUBTOTAL(3,_xlfn.SINGLE(tbl_pros[RowId]))</f>
        <v>1</v>
      </c>
    </row>
    <row r="702" spans="10:44">
      <c r="J702" s="4">
        <v>692</v>
      </c>
      <c r="K702" s="20" t="s">
        <v>50</v>
      </c>
      <c r="L702" s="2" t="s">
        <v>1464</v>
      </c>
      <c r="M702" s="4">
        <v>1</v>
      </c>
      <c r="N702" s="4" t="s">
        <v>1465</v>
      </c>
      <c r="O702" s="21" t="str">
        <f>HYPERLINK("obsidian://open?vault=o2&amp;file=Evergreen%20Notes%20as%20Defined%20by%20Andy.md","Evergreen Notes as Defined by Andy")</f>
        <v>Evergreen Notes as Defined by Andy</v>
      </c>
      <c r="P702" s="11" t="s">
        <v>175</v>
      </c>
      <c r="AR702" s="11">
        <f>SUBTOTAL(3,_xlfn.SINGLE(tbl_pros[RowId]))</f>
        <v>1</v>
      </c>
    </row>
    <row r="703" spans="10:44">
      <c r="J703" s="4">
        <v>693</v>
      </c>
      <c r="K703" s="20" t="s">
        <v>50</v>
      </c>
      <c r="L703" s="2" t="s">
        <v>1466</v>
      </c>
      <c r="M703" s="4">
        <v>10</v>
      </c>
      <c r="N703" s="4" t="s">
        <v>1467</v>
      </c>
      <c r="O703" s="21" t="str">
        <f>HYPERLINK("obsidian://open?vault=o2&amp;file=Evergreen%20Notes.md","Evergreen Notes")</f>
        <v>Evergreen Notes</v>
      </c>
      <c r="P703" s="11" t="s">
        <v>175</v>
      </c>
      <c r="Q703" s="21" t="str">
        <f>HYPERLINK("obsidian://open?vault=o2&amp;file=Extra%20Learning%20Resources.md","Extra Learning Resources")</f>
        <v>Extra Learning Resources</v>
      </c>
      <c r="R703" s="11" t="s">
        <v>175</v>
      </c>
      <c r="S703" s="21" t="str">
        <f>HYPERLINK("obsidian://open?vault=o2&amp;file=How%20to%20use%20this%20vault.md","How to use this vault")</f>
        <v>How to use this vault</v>
      </c>
      <c r="T703" s="11" t="s">
        <v>175</v>
      </c>
      <c r="U703" s="21" t="str">
        <f>HYPERLINK("obsidian://open?vault=o2&amp;file=John%27s%20Second%20Brain%20Subvault.md","John's Second Brain Subvault")</f>
        <v>John's Second Brain Subvault</v>
      </c>
      <c r="V703" s="11" t="s">
        <v>175</v>
      </c>
      <c r="W703" s="21" t="str">
        <f>HYPERLINK("obsidian://open?vault=o2&amp;file=Maintain%20notes%20that%20you%20revisit.md","Maintain notes that you revisit")</f>
        <v>Maintain notes that you revisit</v>
      </c>
      <c r="X703" s="11" t="s">
        <v>175</v>
      </c>
      <c r="Y703" s="21" t="str">
        <f>HYPERLINK("obsidian://open?vault=o2&amp;file=Managing%20appearance%20and%20theme.md","Managing appearance and theme")</f>
        <v>Managing appearance and theme</v>
      </c>
      <c r="Z703" s="11" t="s">
        <v>175</v>
      </c>
      <c r="AA703" s="21" t="str">
        <f>HYPERLINK("obsidian://open?vault=o2&amp;file=Managing%20inputs.md","Managing inputs")</f>
        <v>Managing inputs</v>
      </c>
      <c r="AB703" s="11" t="s">
        <v>175</v>
      </c>
      <c r="AC703" s="21" t="str">
        <f>HYPERLINK("obsidian://open?vault=o2&amp;file=Setting%20up%20periodic%20notes.md","Setting up periodic notes")</f>
        <v>Setting up periodic notes</v>
      </c>
      <c r="AD703" s="11" t="s">
        <v>175</v>
      </c>
      <c r="AE703" s="21" t="str">
        <f>HYPERLINK("obsidian://open?vault=o2&amp;file=Vault%20Overview.md","Vault Overview")</f>
        <v>Vault Overview</v>
      </c>
      <c r="AF703" s="11" t="s">
        <v>175</v>
      </c>
      <c r="AG703" s="21" t="str">
        <f>HYPERLINK("obsidian://open?vault=o2&amp;file=Building%20a%20Second%20Brain%20Highlights.md","Building a Second Brain Highlights")</f>
        <v>Building a Second Brain Highlights</v>
      </c>
      <c r="AH703" s="11" t="s">
        <v>175</v>
      </c>
      <c r="AR703" s="11">
        <f>SUBTOTAL(3,_xlfn.SINGLE(tbl_pros[RowId]))</f>
        <v>1</v>
      </c>
    </row>
    <row r="704" spans="10:44">
      <c r="J704" s="4">
        <v>694</v>
      </c>
      <c r="K704" s="20" t="s">
        <v>50</v>
      </c>
      <c r="L704" s="2" t="s">
        <v>1468</v>
      </c>
      <c r="M704" s="4">
        <v>1</v>
      </c>
      <c r="N704" s="4" t="s">
        <v>1469</v>
      </c>
      <c r="O704" s="21" t="str">
        <f>HYPERLINK("obsidian://open?vault=o2&amp;file=Evergreen%20Notes.md","Evergreen Notes")</f>
        <v>Evergreen Notes</v>
      </c>
      <c r="P704" s="11" t="s">
        <v>175</v>
      </c>
      <c r="AR704" s="11">
        <f>SUBTOTAL(3,_xlfn.SINGLE(tbl_pros[RowId]))</f>
        <v>1</v>
      </c>
    </row>
    <row r="705" spans="10:44">
      <c r="J705" s="4">
        <v>695</v>
      </c>
      <c r="K705" s="20" t="s">
        <v>50</v>
      </c>
      <c r="L705" s="2" t="s">
        <v>1470</v>
      </c>
      <c r="M705" s="4">
        <v>2</v>
      </c>
      <c r="N705" s="4" t="s">
        <v>1471</v>
      </c>
      <c r="O705" s="21" t="str">
        <f>HYPERLINK("obsidian://open?vault=o2&amp;file=Evergreen%20Notes.md","Evergreen Notes")</f>
        <v>Evergreen Notes</v>
      </c>
      <c r="P705" s="11" t="s">
        <v>175</v>
      </c>
      <c r="Q705" s="21" t="str">
        <f>HYPERLINK("obsidian://open?vault=o2&amp;file=%F0%9F%93%A5%20Konik%20Method%20for%20Making%20Useful%20Notes.md","📥 Konik Method for Making Useful Notes")</f>
        <v>📥 Konik Method for Making Useful Notes</v>
      </c>
      <c r="R705" s="11" t="s">
        <v>175</v>
      </c>
      <c r="AR705" s="11">
        <f>SUBTOTAL(3,_xlfn.SINGLE(tbl_pros[RowId]))</f>
        <v>1</v>
      </c>
    </row>
    <row r="706" spans="10:44">
      <c r="J706" s="4">
        <v>696</v>
      </c>
      <c r="K706" s="20" t="s">
        <v>50</v>
      </c>
      <c r="L706" s="2" t="s">
        <v>1472</v>
      </c>
      <c r="M706" s="4">
        <v>14</v>
      </c>
      <c r="N706" s="4" t="s">
        <v>1473</v>
      </c>
      <c r="O706" s="21" t="str">
        <f>HYPERLINK("obsidian://open?vault=o2&amp;file=Expand%20CasaOS%20App%20Library.md","Expand CasaOS App Library")</f>
        <v>Expand CasaOS App Library</v>
      </c>
      <c r="P706" s="11" t="s">
        <v>175</v>
      </c>
      <c r="Q706" s="21" t="str">
        <f>HYPERLINK("obsidian://open?vault=o2&amp;file=Fix%20Drives%20with%20Partition%20Magic.md","Fix Drives with Partition Magic")</f>
        <v>Fix Drives with Partition Magic</v>
      </c>
      <c r="R706" s="11" t="s">
        <v>175</v>
      </c>
      <c r="S706" s="21" t="str">
        <f>HYPERLINK("obsidian://open?vault=o2&amp;file=Manage%20Users.md","Manage Users")</f>
        <v>Manage Users</v>
      </c>
      <c r="T706" s="11" t="s">
        <v>175</v>
      </c>
      <c r="U706" s="21" t="str">
        <f>HYPERLINK("obsidian://open?vault=o2&amp;file=Secure%20Remote%20Access.md","Secure Remote Access")</f>
        <v>Secure Remote Access</v>
      </c>
      <c r="V706" s="11" t="s">
        <v>175</v>
      </c>
      <c r="W706" s="21" t="str">
        <f>HYPERLINK("obsidian://open?vault=o2&amp;file=Setup%20DDNS-go.md","Setup DDNS-go")</f>
        <v>Setup DDNS-go</v>
      </c>
      <c r="X706" s="11" t="s">
        <v>175</v>
      </c>
      <c r="Y706" s="21" t="str">
        <f>HYPERLINK("obsidian://open?vault=o2&amp;file=Setup%20Radarr.md","Setup Radarr")</f>
        <v>Setup Radarr</v>
      </c>
      <c r="Z706" s="11" t="s">
        <v>175</v>
      </c>
      <c r="AA706" s="21" t="str">
        <f>HYPERLINK("obsidian://open?vault=o2&amp;file=Setup%20Servarr.md","Setup Servarr")</f>
        <v>Setup Servarr</v>
      </c>
      <c r="AB706" s="11" t="s">
        <v>175</v>
      </c>
      <c r="AC706" s="21" t="str">
        <f>HYPERLINK("obsidian://open?vault=o2&amp;file=Setup%20SSH%20to%20work%20in%20Powershell.md","Setup SSH to work in Powershell")</f>
        <v>Setup SSH to work in Powershell</v>
      </c>
      <c r="AD706" s="11" t="s">
        <v>175</v>
      </c>
      <c r="AE706" s="21" t="str">
        <f>HYPERLINK("obsidian://open?vault=o2&amp;file=Setup%20Wireguard.md","Setup Wireguard")</f>
        <v>Setup Wireguard</v>
      </c>
      <c r="AF706" s="11" t="s">
        <v>175</v>
      </c>
      <c r="AG706" s="21" t="str">
        <f>HYPERLINK("obsidian://open?vault=o2&amp;file=CasaOS%20Clean%20Re-install%20Step-by-Step.md","CasaOS Clean Re-install Step-by-Step")</f>
        <v>CasaOS Clean Re-install Step-by-Step</v>
      </c>
      <c r="AH706" s="11" t="s">
        <v>175</v>
      </c>
      <c r="AI706" s="21" t="str">
        <f>HYPERLINK("obsidian://open?vault=o2&amp;file=Reset%20CasaOS%20Win%20Login.md","Reset CasaOS Win Login")</f>
        <v>Reset CasaOS Win Login</v>
      </c>
      <c r="AJ706" s="11" t="s">
        <v>175</v>
      </c>
      <c r="AK706" s="21" t="str">
        <f>HYPERLINK("obsidian://open?vault=o2&amp;file=Setup%20DuckDNS%20and%20ACME%20DNS-01.md","Setup DuckDNS and ACME DNS-01")</f>
        <v>Setup DuckDNS and ACME DNS-01</v>
      </c>
      <c r="AL706" s="11" t="s">
        <v>175</v>
      </c>
      <c r="AM706" s="21" t="str">
        <f>HYPERLINK("obsidian://open?vault=o2&amp;file=Setup%20GPU%20on%20Zimaboard.md","Setup GPU on Zimaboard")</f>
        <v>Setup GPU on Zimaboard</v>
      </c>
      <c r="AN706" s="11" t="s">
        <v>175</v>
      </c>
      <c r="AO706" s="21" t="str">
        <f>HYPERLINK("obsidian://open?vault=o2&amp;file=Setup%20Sabnzbd.md","Setup Sabnzbd")</f>
        <v>Setup Sabnzbd</v>
      </c>
      <c r="AP706" s="11" t="s">
        <v>175</v>
      </c>
      <c r="AR706" s="11">
        <f>SUBTOTAL(3,_xlfn.SINGLE(tbl_pros[RowId]))</f>
        <v>1</v>
      </c>
    </row>
    <row r="707" spans="10:44">
      <c r="J707" s="4">
        <v>697</v>
      </c>
      <c r="K707" s="20" t="s">
        <v>50</v>
      </c>
      <c r="L707" s="2" t="s">
        <v>1474</v>
      </c>
      <c r="M707" s="4">
        <v>21</v>
      </c>
      <c r="N707" s="4" t="s">
        <v>1475</v>
      </c>
      <c r="O707" s="21" t="str">
        <f>HYPERLINK("obsidian://open?vault=o2&amp;file=Expand%20CasaOS%20App%20Library.md","Expand CasaOS App Library")</f>
        <v>Expand CasaOS App Library</v>
      </c>
      <c r="P707" s="11" t="s">
        <v>175</v>
      </c>
      <c r="Q707" s="21" t="str">
        <f>HYPERLINK("obsidian://open?vault=o2&amp;file=Latest%20Network%20Mappings.md","Latest Network Mappings")</f>
        <v>Latest Network Mappings</v>
      </c>
      <c r="R707" s="11" t="s">
        <v>175</v>
      </c>
      <c r="S707" s="21" t="str">
        <f>HYPERLINK("obsidian://open?vault=o2&amp;file=Make%20a%20USB%20CasaOS%20Recovery%20Drive.md","Make a USB CasaOS Recovery Drive")</f>
        <v>Make a USB CasaOS Recovery Drive</v>
      </c>
      <c r="T707" s="11" t="s">
        <v>175</v>
      </c>
      <c r="U707" s="21" t="str">
        <f>HYPERLINK("obsidian://open?vault=o2&amp;file=Port%20Forwarding%20on%20Xfinity.md","Port Forwarding on Xfinity")</f>
        <v>Port Forwarding on Xfinity</v>
      </c>
      <c r="V707" s="11" t="s">
        <v>175</v>
      </c>
      <c r="W707" s="21" t="str">
        <f>HYPERLINK("obsidian://open?vault=o2&amp;file=Re-installing%20CasaOS.md","Re-installing CasaOS")</f>
        <v>Re-installing CasaOS</v>
      </c>
      <c r="X707" s="11" t="s">
        <v>175</v>
      </c>
      <c r="Y707" s="21" t="str">
        <f>HYPERLINK("obsidian://open?vault=o2&amp;file=Secure%20Remote%20Access.md","Secure Remote Access")</f>
        <v>Secure Remote Access</v>
      </c>
      <c r="Z707" s="11" t="s">
        <v>175</v>
      </c>
      <c r="AA707" s="21" t="str">
        <f>HYPERLINK("obsidian://open?vault=o2&amp;file=Setup%20a%20VPN%20on%20your%20network.md","Setup a VPN on your network")</f>
        <v>Setup a VPN on your network</v>
      </c>
      <c r="AB707" s="11" t="s">
        <v>175</v>
      </c>
      <c r="AC707" s="21" t="str">
        <f>HYPERLINK("obsidian://open?vault=o2&amp;file=Setup%20bash%20and%20VIM.md","Setup bash and VIM")</f>
        <v>Setup bash and VIM</v>
      </c>
      <c r="AD707" s="11" t="s">
        <v>175</v>
      </c>
      <c r="AE707" s="21" t="str">
        <f>HYPERLINK("obsidian://open?vault=o2&amp;file=Setup%20Cloudflare.md","Setup Cloudflare")</f>
        <v>Setup Cloudflare</v>
      </c>
      <c r="AF707" s="11" t="s">
        <v>175</v>
      </c>
      <c r="AG707" s="21" t="str">
        <f>HYPERLINK("obsidian://open?vault=o2&amp;file=Setup%20DDNS-go.md","Setup DDNS-go")</f>
        <v>Setup DDNS-go</v>
      </c>
      <c r="AH707" s="11" t="s">
        <v>175</v>
      </c>
      <c r="AI707" s="21" t="str">
        <f>HYPERLINK("obsidian://open?vault=o2&amp;file=Setup%20Nginx%20Proxy%20Manager.md","Setup Nginx Proxy Manager")</f>
        <v>Setup Nginx Proxy Manager</v>
      </c>
      <c r="AJ707" s="11" t="s">
        <v>175</v>
      </c>
      <c r="AK707" s="21" t="str">
        <f>HYPERLINK("obsidian://open?vault=o2&amp;file=Setup%20SSH%20to%20work%20in%20Powershell.md","Setup SSH to work in Powershell")</f>
        <v>Setup SSH to work in Powershell</v>
      </c>
      <c r="AL707" s="11" t="s">
        <v>175</v>
      </c>
      <c r="AM707" s="21" t="str">
        <f>HYPERLINK("obsidian://open?vault=o2&amp;file=Setup%20Wireguard.md","Setup Wireguard")</f>
        <v>Setup Wireguard</v>
      </c>
      <c r="AN707" s="11" t="s">
        <v>175</v>
      </c>
      <c r="AO707" s="21" t="str">
        <f>HYPERLINK("obsidian://open?vault=o2&amp;file=Vim%20Cheatsheet.md","Vim Cheatsheet")</f>
        <v>Vim Cheatsheet</v>
      </c>
      <c r="AP707" s="11" t="s">
        <v>175</v>
      </c>
      <c r="AQ707" s="21" t="str">
        <f>HYPERLINK("obsidian://open?vault=o2&amp;file=Vim%20Plugin%20Details.md","Vim Plugin Details")</f>
        <v>Vim Plugin Details</v>
      </c>
      <c r="AR707" s="11">
        <f>SUBTOTAL(3,_xlfn.SINGLE(tbl_pros[RowId]))</f>
        <v>1</v>
      </c>
    </row>
    <row r="708" spans="10:44">
      <c r="J708" s="4">
        <v>698</v>
      </c>
      <c r="K708" s="20" t="s">
        <v>50</v>
      </c>
      <c r="L708" s="2" t="s">
        <v>1476</v>
      </c>
      <c r="M708" s="4">
        <v>1</v>
      </c>
      <c r="N708" s="4" t="s">
        <v>1477</v>
      </c>
      <c r="O708" s="21" t="str">
        <f>HYPERLINK("obsidian://open?vault=o2&amp;file=Extra%20periodic%20review%20questions.md","Extra periodic review questions")</f>
        <v>Extra periodic review questions</v>
      </c>
      <c r="P708" s="11" t="s">
        <v>175</v>
      </c>
      <c r="AR708" s="11">
        <f>SUBTOTAL(3,_xlfn.SINGLE(tbl_pros[RowId]))</f>
        <v>1</v>
      </c>
    </row>
    <row r="709" spans="10:44">
      <c r="J709" s="4">
        <v>699</v>
      </c>
      <c r="K709" s="20" t="s">
        <v>50</v>
      </c>
      <c r="L709" s="2" t="s">
        <v>1478</v>
      </c>
      <c r="M709" s="4">
        <v>1</v>
      </c>
      <c r="N709" s="4" t="s">
        <v>1479</v>
      </c>
      <c r="O709" s="21" t="str">
        <f>HYPERLINK("obsidian://open?vault=o2&amp;file=Fix%20Drives%20with%20Partition%20Magic.md","Fix Drives with Partition Magic")</f>
        <v>Fix Drives with Partition Magic</v>
      </c>
      <c r="P709" s="11" t="s">
        <v>175</v>
      </c>
      <c r="AR709" s="11">
        <f>SUBTOTAL(3,_xlfn.SINGLE(tbl_pros[RowId]))</f>
        <v>1</v>
      </c>
    </row>
    <row r="710" spans="10:44">
      <c r="J710" s="4">
        <v>700</v>
      </c>
      <c r="K710" s="20" t="s">
        <v>50</v>
      </c>
      <c r="L710" s="2" t="s">
        <v>1480</v>
      </c>
      <c r="M710" s="4">
        <v>1</v>
      </c>
      <c r="N710" s="4" t="s">
        <v>1481</v>
      </c>
      <c r="O710" s="21" t="str">
        <f>HYPERLINK("obsidian://open?vault=o2&amp;file=Fleeting%20Notes%20App.md","Fleeting Notes App")</f>
        <v>Fleeting Notes App</v>
      </c>
      <c r="P710" s="11" t="s">
        <v>175</v>
      </c>
      <c r="AR710" s="11">
        <f>SUBTOTAL(3,_xlfn.SINGLE(tbl_pros[RowId]))</f>
        <v>1</v>
      </c>
    </row>
    <row r="711" spans="10:44">
      <c r="J711" s="4">
        <v>701</v>
      </c>
      <c r="K711" s="20" t="s">
        <v>50</v>
      </c>
      <c r="L711" s="2" t="s">
        <v>1482</v>
      </c>
      <c r="M711" s="4">
        <v>1</v>
      </c>
      <c r="N711" s="4" t="s">
        <v>1483</v>
      </c>
      <c r="O711" s="21" t="str">
        <f>HYPERLINK("obsidian://open?vault=o2&amp;file=Fleeting%20Notes.md","Fleeting Notes")</f>
        <v>Fleeting Notes</v>
      </c>
      <c r="P711" s="11" t="s">
        <v>175</v>
      </c>
      <c r="AR711" s="11">
        <f>SUBTOTAL(3,_xlfn.SINGLE(tbl_pros[RowId]))</f>
        <v>1</v>
      </c>
    </row>
    <row r="712" spans="10:44">
      <c r="J712" s="4">
        <v>702</v>
      </c>
      <c r="K712" s="20" t="s">
        <v>50</v>
      </c>
      <c r="L712" s="2" t="s">
        <v>1484</v>
      </c>
      <c r="M712" s="4">
        <v>4</v>
      </c>
      <c r="N712" s="4" t="s">
        <v>1485</v>
      </c>
      <c r="O712" s="21" t="str">
        <f>HYPERLINK("obsidian://open?vault=o2&amp;file=Give%20people%20value%20and%20time%20by%20consuming%20content%20for%20them.md","Give people value and time by consuming content for them")</f>
        <v>Give people value and time by consuming content for them</v>
      </c>
      <c r="P712" s="11" t="s">
        <v>175</v>
      </c>
      <c r="Q712" s="21" t="str">
        <f>HYPERLINK("obsidian://open?vault=o2&amp;file=Imitate%20the%20thinking%20and%20writing%20of%20your%20role%20models.md","Imitate the thinking and writing of your role models")</f>
        <v>Imitate the thinking and writing of your role models</v>
      </c>
      <c r="R712" s="11" t="s">
        <v>175</v>
      </c>
      <c r="S712" s="21" t="str">
        <f>HYPERLINK("obsidian://open?vault=o2&amp;file=Progressive%20Summarization.md","Progressive Summarization")</f>
        <v>Progressive Summarization</v>
      </c>
      <c r="T712" s="11" t="s">
        <v>175</v>
      </c>
      <c r="U712" s="21" t="str">
        <f>HYPERLINK("obsidian://open?vault=o2&amp;file=Use%20resource%20summaries%20as%20a%20foundation%20for%20your%20own%20thinking%20and%20creating.md","Use resource summaries as a foundation for your own thinking and creating")</f>
        <v>Use resource summaries as a foundation for your own thinking and creating</v>
      </c>
      <c r="V712" s="11" t="s">
        <v>175</v>
      </c>
      <c r="AR712" s="11">
        <f>SUBTOTAL(3,_xlfn.SINGLE(tbl_pros[RowId]))</f>
        <v>1</v>
      </c>
    </row>
    <row r="713" spans="10:44">
      <c r="J713" s="4">
        <v>703</v>
      </c>
      <c r="K713" s="20" t="s">
        <v>50</v>
      </c>
      <c r="L713" s="2" t="s">
        <v>1486</v>
      </c>
      <c r="M713" s="4">
        <v>1</v>
      </c>
      <c r="N713" s="4" t="s">
        <v>1487</v>
      </c>
      <c r="O713" s="21" t="str">
        <f>HYPERLINK("obsidian://open?vault=o2&amp;file=Glossary.md","Glossary")</f>
        <v>Glossary</v>
      </c>
      <c r="P713" s="11" t="s">
        <v>175</v>
      </c>
      <c r="AR713" s="11">
        <f>SUBTOTAL(3,_xlfn.SINGLE(tbl_pros[RowId]))</f>
        <v>1</v>
      </c>
    </row>
    <row r="714" spans="10:44">
      <c r="J714" s="4">
        <v>704</v>
      </c>
      <c r="K714" s="20" t="s">
        <v>50</v>
      </c>
      <c r="L714" s="2" t="s">
        <v>1488</v>
      </c>
      <c r="M714" s="4">
        <v>8</v>
      </c>
      <c r="N714" s="4" t="s">
        <v>1489</v>
      </c>
      <c r="O714" s="21" t="str">
        <f>HYPERLINK("obsidian://open?vault=o2&amp;file=Hotkey%20ShortList%20by%20Assigned%20Hotkey.md","Hotkey ShortList by Assigned Hotkey")</f>
        <v>Hotkey ShortList by Assigned Hotkey</v>
      </c>
      <c r="P714" s="11" t="s">
        <v>175</v>
      </c>
      <c r="Q714" s="21" t="str">
        <f>HYPERLINK("obsidian://open?vault=o2&amp;file=Hotkey%20ShortList%20by%20Command%20Name.md","Hotkey ShortList by Command Name")</f>
        <v>Hotkey ShortList by Command Name</v>
      </c>
      <c r="R714" s="11" t="s">
        <v>175</v>
      </c>
      <c r="S714" s="21" t="str">
        <f>HYPERLINK("obsidian://open?vault=o2&amp;file=Hotkey%20ShortList%20by%20CommandID.md","Hotkey ShortList by CommandID")</f>
        <v>Hotkey ShortList by CommandID</v>
      </c>
      <c r="T714" s="11" t="s">
        <v>175</v>
      </c>
      <c r="U714" s="21" t="str">
        <f>HYPERLINK("obsidian://open?vault=o2&amp;file=Hotkeys%20by%20Assigned%20Hotkey.md","Hotkeys by Assigned Hotkey")</f>
        <v>Hotkeys by Assigned Hotkey</v>
      </c>
      <c r="V714" s="11" t="s">
        <v>175</v>
      </c>
      <c r="W714" s="21" t="str">
        <f>HYPERLINK("obsidian://open?vault=o2&amp;file=Hotkeys%20by%20Command%20Name.md","Hotkeys by Command Name")</f>
        <v>Hotkeys by Command Name</v>
      </c>
      <c r="X714" s="11" t="s">
        <v>175</v>
      </c>
      <c r="Y714" s="21" t="str">
        <f>HYPERLINK("obsidian://open?vault=o2&amp;file=Hotkeys%20by%20CommandID.md","Hotkeys by CommandID")</f>
        <v>Hotkeys by CommandID</v>
      </c>
      <c r="Z714" s="11" t="s">
        <v>175</v>
      </c>
      <c r="AA714" s="21" t="str">
        <f>HYPERLINK("obsidian://open?vault=o2&amp;file=Hotkeys%20Defined.md","Hotkeys Defined")</f>
        <v>Hotkeys Defined</v>
      </c>
      <c r="AB714" s="11" t="s">
        <v>175</v>
      </c>
      <c r="AC714" s="21" t="str">
        <f>HYPERLINK("obsidian://open?vault=o2&amp;file=Obsidian%20Hotkeys%20for%20Editing.md","Obsidian Hotkeys for Editing")</f>
        <v>Obsidian Hotkeys for Editing</v>
      </c>
      <c r="AD714" s="11" t="s">
        <v>175</v>
      </c>
      <c r="AR714" s="11">
        <f>SUBTOTAL(3,_xlfn.SINGLE(tbl_pros[RowId]))</f>
        <v>1</v>
      </c>
    </row>
    <row r="715" spans="10:44">
      <c r="J715" s="4">
        <v>705</v>
      </c>
      <c r="K715" s="20" t="s">
        <v>50</v>
      </c>
      <c r="L715" s="2" t="s">
        <v>1490</v>
      </c>
      <c r="M715" s="4">
        <v>1</v>
      </c>
      <c r="N715" s="4" t="s">
        <v>1491</v>
      </c>
      <c r="O715" s="21" t="str">
        <f>HYPERLINK("obsidian://open?vault=o2&amp;file=Ideation%20is%20an%20incremental%2C%20slow%20burn.md","Ideation is an incremental, slow burn")</f>
        <v>Ideation is an incremental, slow burn</v>
      </c>
      <c r="P715" s="11" t="s">
        <v>175</v>
      </c>
      <c r="AR715" s="11">
        <f>SUBTOTAL(3,_xlfn.SINGLE(tbl_pros[RowId]))</f>
        <v>1</v>
      </c>
    </row>
    <row r="716" spans="10:44">
      <c r="J716" s="4">
        <v>706</v>
      </c>
      <c r="K716" s="20" t="s">
        <v>50</v>
      </c>
      <c r="L716" s="2" t="s">
        <v>1492</v>
      </c>
      <c r="M716" s="4">
        <v>2</v>
      </c>
      <c r="N716" s="4" t="s">
        <v>1493</v>
      </c>
      <c r="O716" s="21" t="str">
        <f>HYPERLINK("obsidian://open?vault=o2&amp;file=incl_yaml.md","incl_yaml")</f>
        <v>incl_yaml</v>
      </c>
      <c r="P716" s="11" t="s">
        <v>175</v>
      </c>
      <c r="Q716" s="21" t="str">
        <f>HYPERLINK("obsidian://open?vault=o2&amp;file=Book%20Application%20Template.md","Book Application Template")</f>
        <v>Book Application Template</v>
      </c>
      <c r="R716" s="11" t="s">
        <v>175</v>
      </c>
      <c r="AR716" s="11">
        <f>SUBTOTAL(3,_xlfn.SINGLE(tbl_pros[RowId]))</f>
        <v>1</v>
      </c>
    </row>
    <row r="717" spans="10:44">
      <c r="J717" s="4">
        <v>707</v>
      </c>
      <c r="K717" s="20" t="s">
        <v>50</v>
      </c>
      <c r="L717" s="2" t="s">
        <v>1494</v>
      </c>
      <c r="M717" s="4">
        <v>2</v>
      </c>
      <c r="N717" s="4" t="s">
        <v>1495</v>
      </c>
      <c r="O717" s="21" t="str">
        <f>HYPERLINK("obsidian://open?vault=o2&amp;file=incl_yaml.md","incl_yaml")</f>
        <v>incl_yaml</v>
      </c>
      <c r="P717" s="11" t="s">
        <v>175</v>
      </c>
      <c r="Q717" s="21" t="str">
        <f>HYPERLINK("obsidian://open?vault=o2&amp;file=Book%20Application%20Template.md","Book Application Template")</f>
        <v>Book Application Template</v>
      </c>
      <c r="R717" s="11" t="s">
        <v>175</v>
      </c>
      <c r="AR717" s="11">
        <f>SUBTOTAL(3,_xlfn.SINGLE(tbl_pros[RowId]))</f>
        <v>1</v>
      </c>
    </row>
    <row r="718" spans="10:44">
      <c r="J718" s="4">
        <v>708</v>
      </c>
      <c r="K718" s="20" t="s">
        <v>50</v>
      </c>
      <c r="L718" s="2" t="s">
        <v>1496</v>
      </c>
      <c r="M718" s="4">
        <v>3</v>
      </c>
      <c r="N718" s="4" t="s">
        <v>1497</v>
      </c>
      <c r="O718" s="21" t="str">
        <f>HYPERLINK("obsidian://open?vault=o2&amp;file=Intermediate%20packets.md","Intermediate packets")</f>
        <v>Intermediate packets</v>
      </c>
      <c r="P718" s="11" t="s">
        <v>175</v>
      </c>
      <c r="Q718" s="21" t="str">
        <f>HYPERLINK("obsidian://open?vault=o2&amp;file=Retrieving%20information%20from%20your%20notes.md","Retrieving information from your notes")</f>
        <v>Retrieving information from your notes</v>
      </c>
      <c r="R718" s="11" t="s">
        <v>175</v>
      </c>
      <c r="S718" s="21" t="str">
        <f>HYPERLINK("obsidian://open?vault=o2&amp;file=Turning%20notes%20into%20content.md","Turning notes into content")</f>
        <v>Turning notes into content</v>
      </c>
      <c r="T718" s="11" t="s">
        <v>175</v>
      </c>
      <c r="AR718" s="11">
        <f>SUBTOTAL(3,_xlfn.SINGLE(tbl_pros[RowId]))</f>
        <v>1</v>
      </c>
    </row>
    <row r="719" spans="10:44">
      <c r="J719" s="4">
        <v>709</v>
      </c>
      <c r="K719" s="20" t="s">
        <v>50</v>
      </c>
      <c r="L719" s="2" t="s">
        <v>1498</v>
      </c>
      <c r="M719" s="4">
        <v>7</v>
      </c>
      <c r="N719" s="4" t="s">
        <v>1499</v>
      </c>
      <c r="O719" s="21" t="str">
        <f>HYPERLINK("obsidian://open?vault=o2&amp;file=JM%27s%20Make.md%20notes.md","JM's Make notes")</f>
        <v>JM's Make notes</v>
      </c>
      <c r="P719" s="11" t="s">
        <v>175</v>
      </c>
      <c r="Q719" s="21" t="str">
        <f>HYPERLINK("obsidian://open?vault=o2&amp;file=Metadata%20Menu%20Community%20Plugin.md","Metadata Menu Community Plugin")</f>
        <v>Metadata Menu Community Plugin</v>
      </c>
      <c r="R719" s="11" t="s">
        <v>175</v>
      </c>
      <c r="S719" s="21" t="str">
        <f>HYPERLINK("obsidian://open?vault=o2&amp;file=My%20Plugins.md","My Plugins")</f>
        <v>My Plugins</v>
      </c>
      <c r="T719" s="11" t="s">
        <v>175</v>
      </c>
      <c r="U719" s="21" t="str">
        <f>HYPERLINK("obsidian://open?vault=o2&amp;file=Obsidian%20Callouts.md","Obsidian Callouts")</f>
        <v>Obsidian Callouts</v>
      </c>
      <c r="V719" s="11" t="s">
        <v>175</v>
      </c>
      <c r="W719" s="21" t="str">
        <f>HYPERLINK("obsidian://open?vault=o2&amp;file=Obsidian%20Strange%20New%20Worlds%20Plugin.md","Obsidian Strange New Worlds Plugin")</f>
        <v>Obsidian Strange New Worlds Plugin</v>
      </c>
      <c r="X719" s="11" t="s">
        <v>175</v>
      </c>
      <c r="Y719" s="21" t="str">
        <f>HYPERLINK("obsidian://open?vault=o2&amp;file=Obsidian%20Templater%20Plugin.md","Obsidian Templater Plugin")</f>
        <v>Obsidian Templater Plugin</v>
      </c>
      <c r="Z719" s="11" t="s">
        <v>175</v>
      </c>
      <c r="AA719" s="21" t="str">
        <f>HYPERLINK("obsidian://open?vault=o2&amp;file=Obsidian%20Tracker%20Plugin.md","Obsidian Tracker Plugin")</f>
        <v>Obsidian Tracker Plugin</v>
      </c>
      <c r="AB719" s="11" t="s">
        <v>175</v>
      </c>
      <c r="AR719" s="11">
        <f>SUBTOTAL(3,_xlfn.SINGLE(tbl_pros[RowId]))</f>
        <v>1</v>
      </c>
    </row>
    <row r="720" spans="10:44">
      <c r="J720" s="4">
        <v>710</v>
      </c>
      <c r="K720" s="20" t="s">
        <v>50</v>
      </c>
      <c r="L720" s="2" t="s">
        <v>1500</v>
      </c>
      <c r="M720" s="4">
        <v>1</v>
      </c>
      <c r="N720" s="4" t="s">
        <v>1501</v>
      </c>
      <c r="O720" s="21" t="str">
        <f>HYPERLINK("obsidian://open?vault=o2&amp;file=Jokologue.md","Jokologue")</f>
        <v>Jokologue</v>
      </c>
      <c r="P720" s="11" t="s">
        <v>175</v>
      </c>
      <c r="AR720" s="11">
        <f>SUBTOTAL(3,_xlfn.SINGLE(tbl_pros[RowId]))</f>
        <v>1</v>
      </c>
    </row>
    <row r="721" spans="10:44">
      <c r="J721" s="4">
        <v>711</v>
      </c>
      <c r="K721" s="20" t="s">
        <v>50</v>
      </c>
      <c r="L721" s="2" t="s">
        <v>1502</v>
      </c>
      <c r="M721" s="4">
        <v>2</v>
      </c>
      <c r="N721" s="4" t="s">
        <v>1503</v>
      </c>
      <c r="O721" s="21" t="str">
        <f>HYPERLINK("obsidian://open?vault=o2&amp;file=Kanban%20Boards.md","Kanban Boards")</f>
        <v>Kanban Boards</v>
      </c>
      <c r="P721" s="11" t="s">
        <v>175</v>
      </c>
      <c r="Q721" s="21" t="str">
        <f>HYPERLINK("obsidian://open?vault=o2&amp;file=Objective%20Key%20Results%20%28OKR%29.md","Objective Key Results (OKR)")</f>
        <v>Objective Key Results (OKR)</v>
      </c>
      <c r="R721" s="11" t="s">
        <v>175</v>
      </c>
      <c r="AR721" s="11">
        <f>SUBTOTAL(3,_xlfn.SINGLE(tbl_pros[RowId]))</f>
        <v>1</v>
      </c>
    </row>
    <row r="722" spans="10:44">
      <c r="J722" s="4">
        <v>712</v>
      </c>
      <c r="K722" s="20" t="s">
        <v>50</v>
      </c>
      <c r="L722" s="2" t="s">
        <v>1504</v>
      </c>
      <c r="M722" s="4">
        <v>1</v>
      </c>
      <c r="N722" s="4" t="s">
        <v>1505</v>
      </c>
      <c r="O722" s="21" t="str">
        <f>HYPERLINK("obsidian://open?vault=o2&amp;file=Knowledge%20Assets.md","Knowledge Assets")</f>
        <v>Knowledge Assets</v>
      </c>
      <c r="P722" s="11" t="s">
        <v>175</v>
      </c>
      <c r="AR722" s="11">
        <f>SUBTOTAL(3,_xlfn.SINGLE(tbl_pros[RowId]))</f>
        <v>1</v>
      </c>
    </row>
    <row r="723" spans="10:44">
      <c r="J723" s="4">
        <v>713</v>
      </c>
      <c r="K723" s="20" t="s">
        <v>50</v>
      </c>
      <c r="L723" s="2" t="s">
        <v>1506</v>
      </c>
      <c r="M723" s="4">
        <v>1</v>
      </c>
      <c r="N723" s="4" t="s">
        <v>1507</v>
      </c>
      <c r="O723" s="21" t="str">
        <f>HYPERLINK("obsidian://open?vault=o2&amp;file=Latest%20Network%20Mappings.md","Latest Network Mappings")</f>
        <v>Latest Network Mappings</v>
      </c>
      <c r="P723" s="11" t="s">
        <v>175</v>
      </c>
      <c r="AR723" s="11">
        <f>SUBTOTAL(3,_xlfn.SINGLE(tbl_pros[RowId]))</f>
        <v>1</v>
      </c>
    </row>
    <row r="724" spans="10:44">
      <c r="J724" s="4">
        <v>714</v>
      </c>
      <c r="K724" s="20" t="s">
        <v>50</v>
      </c>
      <c r="L724" s="2" t="s">
        <v>1508</v>
      </c>
      <c r="M724" s="4">
        <v>1</v>
      </c>
      <c r="N724" s="4" t="s">
        <v>1509</v>
      </c>
      <c r="O724" s="21" t="str">
        <f>HYPERLINK("obsidian://open?vault=o2&amp;file=Learn%20Python%20in%20Y%20Minutes.md","Learn Python in Y Minutes")</f>
        <v>Learn Python in Y Minutes</v>
      </c>
      <c r="P724" s="11" t="s">
        <v>175</v>
      </c>
      <c r="AR724" s="11">
        <f>SUBTOTAL(3,_xlfn.SINGLE(tbl_pros[RowId]))</f>
        <v>1</v>
      </c>
    </row>
    <row r="725" spans="10:44">
      <c r="J725" s="4">
        <v>715</v>
      </c>
      <c r="K725" s="20" t="s">
        <v>50</v>
      </c>
      <c r="L725" s="2" t="s">
        <v>1510</v>
      </c>
      <c r="M725" s="4">
        <v>1</v>
      </c>
      <c r="N725" s="4" t="s">
        <v>1511</v>
      </c>
      <c r="O725" s="21" t="str">
        <f>HYPERLINK("obsidian://open?vault=o2&amp;file=Magazines%20Ordered%20Jan-2023.md","Magazines Ordered Jan-2023")</f>
        <v>Magazines Ordered Jan-2023</v>
      </c>
      <c r="P725" s="11" t="s">
        <v>175</v>
      </c>
      <c r="AR725" s="11">
        <f>SUBTOTAL(3,_xlfn.SINGLE(tbl_pros[RowId]))</f>
        <v>1</v>
      </c>
    </row>
    <row r="726" spans="10:44">
      <c r="J726" s="4">
        <v>716</v>
      </c>
      <c r="K726" s="20" t="s">
        <v>50</v>
      </c>
      <c r="L726" s="2" t="s">
        <v>1512</v>
      </c>
      <c r="M726" s="4">
        <v>2</v>
      </c>
      <c r="N726" s="4" t="s">
        <v>1513</v>
      </c>
      <c r="O726" s="21" t="str">
        <f>HYPERLINK("obsidian://open?vault=o2&amp;file=Make%20file%20metadata%20and%20properties%20separate%20concepts.md","Make file metadata and properties separate concepts")</f>
        <v>Make file metadata and properties separate concepts</v>
      </c>
      <c r="P726" s="11" t="s">
        <v>175</v>
      </c>
      <c r="Q726" s="21" t="str">
        <f>HYPERLINK("obsidian://open?vault=o2&amp;file=Persons%20Database%20Research.md","Persons Database Research")</f>
        <v>Persons Database Research</v>
      </c>
      <c r="R726" s="11" t="s">
        <v>175</v>
      </c>
      <c r="AR726" s="11">
        <f>SUBTOTAL(3,_xlfn.SINGLE(tbl_pros[RowId]))</f>
        <v>1</v>
      </c>
    </row>
    <row r="727" spans="10:44">
      <c r="J727" s="4">
        <v>717</v>
      </c>
      <c r="K727" s="20" t="s">
        <v>50</v>
      </c>
      <c r="L727" s="2" t="s">
        <v>1514</v>
      </c>
      <c r="M727" s="4">
        <v>2</v>
      </c>
      <c r="N727" s="4" t="s">
        <v>1515</v>
      </c>
      <c r="O727" s="21" t="str">
        <f>HYPERLINK("obsidian://open?vault=o2&amp;file=Manage%20Users.md","Manage Users")</f>
        <v>Manage Users</v>
      </c>
      <c r="P727" s="11" t="s">
        <v>175</v>
      </c>
      <c r="Q727" s="21" t="str">
        <f>HYPERLINK("obsidian://open?vault=o2&amp;file=Vim%20Cheatsheet.md","Vim Cheatsheet")</f>
        <v>Vim Cheatsheet</v>
      </c>
      <c r="R727" s="11" t="s">
        <v>175</v>
      </c>
      <c r="AR727" s="11">
        <f>SUBTOTAL(3,_xlfn.SINGLE(tbl_pros[RowId]))</f>
        <v>1</v>
      </c>
    </row>
    <row r="728" spans="10:44">
      <c r="J728" s="4">
        <v>718</v>
      </c>
      <c r="K728" s="20" t="s">
        <v>50</v>
      </c>
      <c r="L728" s="2" t="s">
        <v>1516</v>
      </c>
      <c r="M728" s="4">
        <v>1</v>
      </c>
      <c r="N728" s="4" t="s">
        <v>1517</v>
      </c>
      <c r="O728" s="21" t="str">
        <f>HYPERLINK("obsidian://open?vault=o2&amp;file=Managing%20and%20growing%20evergreen%20notes.md","Managing and growing evergreen notes")</f>
        <v>Managing and growing evergreen notes</v>
      </c>
      <c r="P728" s="11" t="s">
        <v>175</v>
      </c>
      <c r="AR728" s="11">
        <f>SUBTOTAL(3,_xlfn.SINGLE(tbl_pros[RowId]))</f>
        <v>1</v>
      </c>
    </row>
    <row r="729" spans="10:44">
      <c r="J729" s="4">
        <v>719</v>
      </c>
      <c r="K729" s="20" t="s">
        <v>50</v>
      </c>
      <c r="L729" s="2" t="s">
        <v>1518</v>
      </c>
      <c r="M729" s="4">
        <v>1</v>
      </c>
      <c r="N729" s="4" t="s">
        <v>1519</v>
      </c>
      <c r="O729" s="21" t="str">
        <f>HYPERLINK("obsidian://open?vault=o2&amp;file=Memberships%20and%20Rewards.md","Memberships and Rewards")</f>
        <v>Memberships and Rewards</v>
      </c>
      <c r="P729" s="11" t="s">
        <v>175</v>
      </c>
      <c r="AR729" s="11">
        <f>SUBTOTAL(3,_xlfn.SINGLE(tbl_pros[RowId]))</f>
        <v>1</v>
      </c>
    </row>
    <row r="730" spans="10:44">
      <c r="J730" s="4">
        <v>720</v>
      </c>
      <c r="K730" s="20" t="s">
        <v>50</v>
      </c>
      <c r="L730" s="2" t="s">
        <v>1520</v>
      </c>
      <c r="M730" s="4">
        <v>2</v>
      </c>
      <c r="N730" s="4" t="s">
        <v>1521</v>
      </c>
      <c r="O730" s="21" t="str">
        <f>HYPERLINK("obsidian://open?vault=o2&amp;file=Memberships%20and%20Rewards.md","Memberships and Rewards")</f>
        <v>Memberships and Rewards</v>
      </c>
      <c r="P730" s="11" t="s">
        <v>175</v>
      </c>
      <c r="Q730" s="21" t="str">
        <f>HYPERLINK("obsidian://open?vault=o2&amp;file=Streaming%20Bundles.md","Streaming Bundles")</f>
        <v>Streaming Bundles</v>
      </c>
      <c r="R730" s="11" t="s">
        <v>175</v>
      </c>
      <c r="AR730" s="11">
        <f>SUBTOTAL(3,_xlfn.SINGLE(tbl_pros[RowId]))</f>
        <v>1</v>
      </c>
    </row>
    <row r="731" spans="10:44">
      <c r="J731" s="4">
        <v>721</v>
      </c>
      <c r="K731" s="20" t="s">
        <v>50</v>
      </c>
      <c r="L731" s="2" t="s">
        <v>1522</v>
      </c>
      <c r="M731" s="4">
        <v>1</v>
      </c>
      <c r="N731" s="4" t="s">
        <v>1523</v>
      </c>
      <c r="O731" s="21" t="str">
        <f>HYPERLINK("obsidian://open?vault=o2&amp;file=Metadata%20Menu%20Community%20Plugin.md","Metadata Menu Community Plugin")</f>
        <v>Metadata Menu Community Plugin</v>
      </c>
      <c r="P731" s="11" t="s">
        <v>175</v>
      </c>
      <c r="AR731" s="11">
        <f>SUBTOTAL(3,_xlfn.SINGLE(tbl_pros[RowId]))</f>
        <v>1</v>
      </c>
    </row>
    <row r="732" spans="10:44">
      <c r="J732" s="4">
        <v>722</v>
      </c>
      <c r="K732" s="20" t="s">
        <v>50</v>
      </c>
      <c r="L732" s="2" t="s">
        <v>1524</v>
      </c>
      <c r="M732" s="4">
        <v>8</v>
      </c>
      <c r="N732" s="4" t="s">
        <v>1525</v>
      </c>
      <c r="O732" s="21" t="str">
        <f>HYPERLINK("obsidian://open?vault=o2&amp;file=Metadata.md","Metadata")</f>
        <v>Metadata</v>
      </c>
      <c r="P732" s="11" t="s">
        <v>175</v>
      </c>
      <c r="Q732" s="21" t="str">
        <f>HYPERLINK("obsidian://open?vault=o2&amp;file=Obsidian%20Canvas.md","Obsidian Canvas")</f>
        <v>Obsidian Canvas</v>
      </c>
      <c r="R732" s="11" t="s">
        <v>175</v>
      </c>
      <c r="S732" s="21" t="str">
        <f>HYPERLINK("obsidian://open?vault=o2&amp;file=Obsidian%20Community%20Plugins.md","Obsidian Community Plugins")</f>
        <v>Obsidian Community Plugins</v>
      </c>
      <c r="T732" s="11" t="s">
        <v>175</v>
      </c>
      <c r="U732" s="21" t="str">
        <f>HYPERLINK("obsidian://open?vault=o2&amp;file=Obsidian%20Layout.md","Obsidian Layout")</f>
        <v>Obsidian Layout</v>
      </c>
      <c r="V732" s="11" t="s">
        <v>175</v>
      </c>
      <c r="W732" s="21" t="str">
        <f>HYPERLINK("obsidian://open?vault=o2&amp;file=Obsidian%20Tips.md","Obsidian Tips")</f>
        <v>Obsidian Tips</v>
      </c>
      <c r="X732" s="11" t="s">
        <v>175</v>
      </c>
      <c r="Y732" s="21" t="str">
        <f>HYPERLINK("obsidian://open?vault=o2&amp;file=Obsidian%20Workspaces.md","Obsidian Workspaces")</f>
        <v>Obsidian Workspaces</v>
      </c>
      <c r="Z732" s="11" t="s">
        <v>175</v>
      </c>
      <c r="AA732" s="21" t="str">
        <f>HYPERLINK("obsidian://open?vault=o2&amp;file=PARA%20Method%20in%20Obsidian%20MD.md","PARA Method in Obsidian MD")</f>
        <v>PARA Method in Obsidian MD</v>
      </c>
      <c r="AB732" s="11" t="s">
        <v>175</v>
      </c>
      <c r="AC732" s="21" t="str">
        <f>HYPERLINK("obsidian://open?vault=o2&amp;file=%E2%9A%92%EF%B8%8F%20FUN%20-%20Frequently%20Used%20Notes.md","⚒️ FUN - Frequently Used Notes")</f>
        <v>⚒️ FUN - Frequently Used Notes</v>
      </c>
      <c r="AD732" s="11" t="s">
        <v>175</v>
      </c>
      <c r="AR732" s="11">
        <f>SUBTOTAL(3,_xlfn.SINGLE(tbl_pros[RowId]))</f>
        <v>1</v>
      </c>
    </row>
    <row r="733" spans="10:44">
      <c r="J733" s="4">
        <v>723</v>
      </c>
      <c r="K733" s="20" t="s">
        <v>50</v>
      </c>
      <c r="L733" s="2" t="s">
        <v>1526</v>
      </c>
      <c r="M733" s="4">
        <v>1</v>
      </c>
      <c r="N733" s="4" t="s">
        <v>1527</v>
      </c>
      <c r="O733" s="21" t="str">
        <f>HYPERLINK("obsidian://open?vault=o2&amp;file=Money%20Moves%20for%202023.md","Money Moves for 2023")</f>
        <v>Money Moves for 2023</v>
      </c>
      <c r="P733" s="11" t="s">
        <v>175</v>
      </c>
      <c r="AR733" s="11">
        <f>SUBTOTAL(3,_xlfn.SINGLE(tbl_pros[RowId]))</f>
        <v>1</v>
      </c>
    </row>
    <row r="734" spans="10:44">
      <c r="J734" s="4">
        <v>724</v>
      </c>
      <c r="K734" s="20" t="s">
        <v>50</v>
      </c>
      <c r="L734" s="2" t="s">
        <v>1528</v>
      </c>
      <c r="M734" s="4">
        <v>3</v>
      </c>
      <c r="N734" s="4" t="s">
        <v>1529</v>
      </c>
      <c r="O734" s="21" t="str">
        <f>HYPERLINK("obsidian://open?vault=o2&amp;file=My%20Addons.md","My Addons")</f>
        <v>My Addons</v>
      </c>
      <c r="P734" s="11" t="s">
        <v>175</v>
      </c>
      <c r="Q734" s="21" t="str">
        <f>HYPERLINK("obsidian://open?vault=o2&amp;file=Showing%20inline%20titles.md","Showing inline titles")</f>
        <v>Showing inline titles</v>
      </c>
      <c r="R734" s="11" t="s">
        <v>175</v>
      </c>
      <c r="S734" s="21" t="str">
        <f>HYPERLINK("obsidian://open?vault=o2&amp;file=Template%20Explanations.md","Template Explanations")</f>
        <v>Template Explanations</v>
      </c>
      <c r="T734" s="11" t="s">
        <v>175</v>
      </c>
      <c r="AR734" s="11">
        <f>SUBTOTAL(3,_xlfn.SINGLE(tbl_pros[RowId]))</f>
        <v>1</v>
      </c>
    </row>
    <row r="735" spans="10:44">
      <c r="J735" s="4">
        <v>725</v>
      </c>
      <c r="K735" s="20" t="s">
        <v>50</v>
      </c>
      <c r="L735" s="2" t="s">
        <v>1530</v>
      </c>
      <c r="M735" s="4">
        <v>2</v>
      </c>
      <c r="N735" s="4" t="s">
        <v>1531</v>
      </c>
      <c r="O735" s="21" t="str">
        <f>HYPERLINK("obsidian://open?vault=o2&amp;file=My%20Adobe%20CS5.5%20Notes.md","My Adobe CS5.5 Notes")</f>
        <v>My Adobe CS5.5 Notes</v>
      </c>
      <c r="P735" s="11" t="s">
        <v>175</v>
      </c>
      <c r="Q735" s="21" t="str">
        <f>HYPERLINK("obsidian://open?vault=o2&amp;file=testTasklist.md","testTasklist")</f>
        <v>testTasklist</v>
      </c>
      <c r="R735" s="11" t="s">
        <v>175</v>
      </c>
      <c r="AR735" s="11">
        <f>SUBTOTAL(3,_xlfn.SINGLE(tbl_pros[RowId]))</f>
        <v>1</v>
      </c>
    </row>
    <row r="736" spans="10:44">
      <c r="J736" s="4">
        <v>726</v>
      </c>
      <c r="K736" s="20" t="s">
        <v>50</v>
      </c>
      <c r="L736" s="2" t="s">
        <v>1532</v>
      </c>
      <c r="M736" s="4">
        <v>1</v>
      </c>
      <c r="N736" s="4" t="s">
        <v>1533</v>
      </c>
      <c r="O736" s="21" t="str">
        <f>HYPERLINK("obsidian://open?vault=o2&amp;file=My%20Firefox%20Plugins-2024.md","My Firefox Plugins-2024")</f>
        <v>My Firefox Plugins-2024</v>
      </c>
      <c r="P736" s="11" t="s">
        <v>175</v>
      </c>
      <c r="AR736" s="11">
        <f>SUBTOTAL(3,_xlfn.SINGLE(tbl_pros[RowId]))</f>
        <v>1</v>
      </c>
    </row>
    <row r="737" spans="10:44">
      <c r="J737" s="4">
        <v>727</v>
      </c>
      <c r="K737" s="20" t="s">
        <v>50</v>
      </c>
      <c r="L737" s="2" t="s">
        <v>1534</v>
      </c>
      <c r="M737" s="4">
        <v>2</v>
      </c>
      <c r="N737" s="4" t="s">
        <v>1535</v>
      </c>
      <c r="O737" s="21" t="str">
        <f>HYPERLINK("obsidian://open?vault=o2&amp;file=My%20MediaMonkey%20Notes.md","My MediaMonkey Notes")</f>
        <v>My MediaMonkey Notes</v>
      </c>
      <c r="P737" s="11" t="s">
        <v>175</v>
      </c>
      <c r="Q737" s="21" t="str">
        <f>HYPERLINK("obsidian://open?vault=o2&amp;file=My%20Dropbox%20Notes.md","My Dropbox Notes")</f>
        <v>My Dropbox Notes</v>
      </c>
      <c r="R737" s="11" t="s">
        <v>175</v>
      </c>
      <c r="AR737" s="11">
        <f>SUBTOTAL(3,_xlfn.SINGLE(tbl_pros[RowId]))</f>
        <v>1</v>
      </c>
    </row>
    <row r="738" spans="10:44">
      <c r="J738" s="4">
        <v>728</v>
      </c>
      <c r="K738" s="20" t="s">
        <v>50</v>
      </c>
      <c r="L738" s="2" t="s">
        <v>1536</v>
      </c>
      <c r="M738" s="4">
        <v>1</v>
      </c>
      <c r="N738" s="4" t="s">
        <v>1537</v>
      </c>
      <c r="O738" s="21" t="str">
        <f>HYPERLINK("obsidian://open?vault=o2&amp;file=OneNote%20List%20of%20Notebooks.md","OneNote List of Notebooks")</f>
        <v>OneNote List of Notebooks</v>
      </c>
      <c r="P738" s="11" t="s">
        <v>175</v>
      </c>
      <c r="AR738" s="11">
        <f>SUBTOTAL(3,_xlfn.SINGLE(tbl_pros[RowId]))</f>
        <v>1</v>
      </c>
    </row>
    <row r="739" spans="10:44">
      <c r="J739" s="4">
        <v>729</v>
      </c>
      <c r="K739" s="20" t="s">
        <v>50</v>
      </c>
      <c r="L739" s="2" t="s">
        <v>1538</v>
      </c>
      <c r="M739" s="4">
        <v>1</v>
      </c>
      <c r="N739" s="4" t="s">
        <v>1539</v>
      </c>
      <c r="O739" s="21" t="str">
        <f>HYPERLINK("obsidian://open?vault=o2&amp;file=Port%20Forwarding%20on%20Xfinity.md","Port Forwarding on Xfinity")</f>
        <v>Port Forwarding on Xfinity</v>
      </c>
      <c r="P739" s="11" t="s">
        <v>175</v>
      </c>
      <c r="AR739" s="11">
        <f>SUBTOTAL(3,_xlfn.SINGLE(tbl_pros[RowId]))</f>
        <v>1</v>
      </c>
    </row>
    <row r="740" spans="10:44">
      <c r="J740" s="4">
        <v>730</v>
      </c>
      <c r="K740" s="20" t="s">
        <v>50</v>
      </c>
      <c r="L740" s="2" t="s">
        <v>1540</v>
      </c>
      <c r="M740" s="4">
        <v>3</v>
      </c>
      <c r="N740" s="4" t="s">
        <v>1541</v>
      </c>
      <c r="O740" s="21" t="str">
        <f>HYPERLINK("obsidian://open?vault=o2&amp;file=Prism%20Mark%20Syntax%20for%20Colors.md","Prism Mark Syntax for Colors")</f>
        <v>Prism Mark Syntax for Colors</v>
      </c>
      <c r="P740" s="11" t="s">
        <v>175</v>
      </c>
      <c r="Q740" s="21" t="str">
        <f>HYPERLINK("obsidian://open?vault=o2&amp;file=PC%20Re-Build%20Step%20Sequence%20Script.md","PC Re-Build Step Sequence Script")</f>
        <v>PC Re-Build Step Sequence Script</v>
      </c>
      <c r="R740" s="11" t="s">
        <v>175</v>
      </c>
      <c r="S740" s="21" t="str">
        <f>HYPERLINK("obsidian://open?vault=o2&amp;file=BIOS%20Setup%20Notes.md","BIOS Setup Notes")</f>
        <v>BIOS Setup Notes</v>
      </c>
      <c r="T740" s="11" t="s">
        <v>175</v>
      </c>
      <c r="AR740" s="11">
        <f>SUBTOTAL(3,_xlfn.SINGLE(tbl_pros[RowId]))</f>
        <v>1</v>
      </c>
    </row>
    <row r="741" spans="10:44">
      <c r="J741" s="4">
        <v>731</v>
      </c>
      <c r="K741" s="20" t="s">
        <v>50</v>
      </c>
      <c r="L741" s="2" t="s">
        <v>1542</v>
      </c>
      <c r="M741" s="4">
        <v>1</v>
      </c>
      <c r="N741" s="4" t="s">
        <v>1543</v>
      </c>
      <c r="O741" s="21" t="str">
        <f>HYPERLINK("obsidian://open?vault=o2&amp;file=Project%20Workflow%20Checklists.md","Project Workflow Checklists")</f>
        <v>Project Workflow Checklists</v>
      </c>
      <c r="P741" s="11" t="s">
        <v>175</v>
      </c>
      <c r="AR741" s="11">
        <f>SUBTOTAL(3,_xlfn.SINGLE(tbl_pros[RowId]))</f>
        <v>1</v>
      </c>
    </row>
    <row r="742" spans="10:44">
      <c r="J742" s="4">
        <v>732</v>
      </c>
      <c r="K742" s="20" t="s">
        <v>50</v>
      </c>
      <c r="L742" s="2" t="s">
        <v>1544</v>
      </c>
      <c r="M742" s="4">
        <v>2</v>
      </c>
      <c r="N742" s="4" t="s">
        <v>1545</v>
      </c>
      <c r="O742" s="21" t="str">
        <f>HYPERLINK("obsidian://open?vault=o2&amp;file=QuickAdd%20Plugin.md","QuickAdd Plugin")</f>
        <v>QuickAdd Plugin</v>
      </c>
      <c r="P742" s="11" t="s">
        <v>175</v>
      </c>
      <c r="Q742" s="21" t="str">
        <f>HYPERLINK("obsidian://open?vault=o2&amp;file=Todoist%20Sync%20Plugin.md","Todoist Sync Plugin")</f>
        <v>Todoist Sync Plugin</v>
      </c>
      <c r="R742" s="11" t="s">
        <v>175</v>
      </c>
      <c r="AR742" s="11">
        <f>SUBTOTAL(3,_xlfn.SINGLE(tbl_pros[RowId]))</f>
        <v>1</v>
      </c>
    </row>
    <row r="743" spans="10:44">
      <c r="J743" s="4">
        <v>733</v>
      </c>
      <c r="K743" s="20" t="s">
        <v>50</v>
      </c>
      <c r="L743" s="2" t="s">
        <v>1546</v>
      </c>
      <c r="M743" s="4">
        <v>2</v>
      </c>
      <c r="N743" s="4" t="s">
        <v>1547</v>
      </c>
      <c r="O743" s="21" t="str">
        <f>HYPERLINK("obsidian://open?vault=o2&amp;file=Research%20Cable%20Management.md","Research Cable Management")</f>
        <v>Research Cable Management</v>
      </c>
      <c r="P743" s="11" t="s">
        <v>175</v>
      </c>
      <c r="Q743" s="21" t="str">
        <f>HYPERLINK("obsidian://open?vault=o2&amp;file=Research%20Desk%20Lighting.md","Research Desk Lighting")</f>
        <v>Research Desk Lighting</v>
      </c>
      <c r="R743" s="11" t="s">
        <v>175</v>
      </c>
      <c r="AR743" s="11">
        <f>SUBTOTAL(3,_xlfn.SINGLE(tbl_pros[RowId]))</f>
        <v>1</v>
      </c>
    </row>
    <row r="744" spans="10:44">
      <c r="J744" s="4">
        <v>734</v>
      </c>
      <c r="K744" s="20" t="s">
        <v>50</v>
      </c>
      <c r="L744" s="2" t="s">
        <v>1548</v>
      </c>
      <c r="M744" s="4">
        <v>1</v>
      </c>
      <c r="N744" s="4" t="s">
        <v>1549</v>
      </c>
      <c r="O744" s="21" t="str">
        <f>HYPERLINK("obsidian://open?vault=o2&amp;file=Sample%20YAML.md","Sample YAML")</f>
        <v>Sample YAML</v>
      </c>
      <c r="P744" s="11" t="s">
        <v>175</v>
      </c>
      <c r="AR744" s="11">
        <f>SUBTOTAL(3,_xlfn.SINGLE(tbl_pros[RowId]))</f>
        <v>1</v>
      </c>
    </row>
    <row r="745" spans="10:44">
      <c r="J745" s="4">
        <v>735</v>
      </c>
      <c r="K745" s="20" t="s">
        <v>50</v>
      </c>
      <c r="L745" s="2" t="s">
        <v>1550</v>
      </c>
      <c r="M745" s="4">
        <v>1</v>
      </c>
      <c r="N745" s="4" t="s">
        <v>1551</v>
      </c>
      <c r="O745" s="21" t="str">
        <f>HYPERLINK("obsidian://open?vault=o2&amp;file=Sample%20YAML.md","Sample YAML")</f>
        <v>Sample YAML</v>
      </c>
      <c r="P745" s="11" t="s">
        <v>175</v>
      </c>
      <c r="AR745" s="11">
        <f>SUBTOTAL(3,_xlfn.SINGLE(tbl_pros[RowId]))</f>
        <v>1</v>
      </c>
    </row>
    <row r="746" spans="10:44">
      <c r="J746" s="4">
        <v>736</v>
      </c>
      <c r="K746" s="20" t="s">
        <v>50</v>
      </c>
      <c r="L746" s="2" t="s">
        <v>1552</v>
      </c>
      <c r="M746" s="4">
        <v>3</v>
      </c>
      <c r="N746" s="4" t="s">
        <v>1553</v>
      </c>
      <c r="O746" s="21" t="str">
        <f>HYPERLINK("obsidian://open?vault=o2&amp;file=Sell%20Laminated%20Cheat%20Sheets.md","Sell Laminated Cheat Sheets")</f>
        <v>Sell Laminated Cheat Sheets</v>
      </c>
      <c r="P746" s="11" t="s">
        <v>175</v>
      </c>
      <c r="Q746" s="21" t="str">
        <f>HYPERLINK("obsidian://open?vault=o2&amp;file=Vim%20Cheatsheet.md","Vim Cheatsheet")</f>
        <v>Vim Cheatsheet</v>
      </c>
      <c r="R746" s="11" t="s">
        <v>175</v>
      </c>
      <c r="S746" s="21" t="str">
        <f>HYPERLINK("obsidian://open?vault=o2&amp;file=Templater%20Cheat%20Sheet.md","Templater Cheat Sheet")</f>
        <v>Templater Cheat Sheet</v>
      </c>
      <c r="T746" s="11" t="s">
        <v>175</v>
      </c>
      <c r="AR746" s="11">
        <f>SUBTOTAL(3,_xlfn.SINGLE(tbl_pros[RowId]))</f>
        <v>1</v>
      </c>
    </row>
    <row r="747" spans="10:44">
      <c r="J747" s="4">
        <v>737</v>
      </c>
      <c r="K747" s="20" t="s">
        <v>50</v>
      </c>
      <c r="L747" s="2" t="s">
        <v>1554</v>
      </c>
      <c r="M747" s="4">
        <v>1</v>
      </c>
      <c r="N747" s="4" t="s">
        <v>1555</v>
      </c>
      <c r="O747" s="21" t="str">
        <f>HYPERLINK("obsidian://open?vault=o2&amp;file=Setup%20a%20VPN%20on%20your%20network.md","Setup a VPN on your network")</f>
        <v>Setup a VPN on your network</v>
      </c>
      <c r="P747" s="11" t="s">
        <v>175</v>
      </c>
      <c r="AR747" s="11">
        <f>SUBTOTAL(3,_xlfn.SINGLE(tbl_pros[RowId]))</f>
        <v>1</v>
      </c>
    </row>
    <row r="748" spans="10:44">
      <c r="J748" s="4">
        <v>738</v>
      </c>
      <c r="K748" s="20" t="s">
        <v>50</v>
      </c>
      <c r="L748" s="2" t="s">
        <v>1556</v>
      </c>
      <c r="M748" s="4">
        <v>1</v>
      </c>
      <c r="N748" s="4" t="s">
        <v>1557</v>
      </c>
      <c r="O748" s="21" t="str">
        <f>HYPERLINK("obsidian://open?vault=o2&amp;file=Setup%20Certificate.md","Setup Certificate")</f>
        <v>Setup Certificate</v>
      </c>
      <c r="P748" s="11" t="s">
        <v>175</v>
      </c>
      <c r="AR748" s="11">
        <f>SUBTOTAL(3,_xlfn.SINGLE(tbl_pros[RowId]))</f>
        <v>1</v>
      </c>
    </row>
    <row r="749" spans="10:44">
      <c r="J749" s="4">
        <v>739</v>
      </c>
      <c r="K749" s="20" t="s">
        <v>50</v>
      </c>
      <c r="L749" s="2" t="s">
        <v>1558</v>
      </c>
      <c r="M749" s="4">
        <v>3</v>
      </c>
      <c r="N749" s="4" t="s">
        <v>1559</v>
      </c>
      <c r="O749" s="21" t="str">
        <f>HYPERLINK("obsidian://open?vault=o2&amp;file=Setup%20Cloudflare.md","Setup Cloudflare")</f>
        <v>Setup Cloudflare</v>
      </c>
      <c r="P749" s="11" t="s">
        <v>175</v>
      </c>
      <c r="Q749" s="21" t="str">
        <f>HYPERLINK("obsidian://open?vault=o2&amp;file=Software%20under%20the%20Virtualmin%20Professional%20Plan.md","Software under the Virtualmin Professional Plan")</f>
        <v>Software under the Virtualmin Professional Plan</v>
      </c>
      <c r="R749" s="11" t="s">
        <v>175</v>
      </c>
      <c r="S749" s="21" t="str">
        <f>HYPERLINK("obsidian://open?vault=o2&amp;file=Create%20Linode%20Instance.md","Create Linode Instance")</f>
        <v>Create Linode Instance</v>
      </c>
      <c r="T749" s="11" t="s">
        <v>175</v>
      </c>
      <c r="AR749" s="11">
        <f>SUBTOTAL(3,_xlfn.SINGLE(tbl_pros[RowId]))</f>
        <v>1</v>
      </c>
    </row>
    <row r="750" spans="10:44">
      <c r="J750" s="4">
        <v>740</v>
      </c>
      <c r="K750" s="20" t="s">
        <v>50</v>
      </c>
      <c r="L750" s="2" t="s">
        <v>1560</v>
      </c>
      <c r="M750" s="4">
        <v>1</v>
      </c>
      <c r="N750" s="4" t="s">
        <v>1561</v>
      </c>
      <c r="O750" s="21" t="str">
        <f>HYPERLINK("obsidian://open?vault=o2&amp;file=Setup%20Multi%20Row%20Tabs%20in%20Firefox.md","Setup Multi Row Tabs in Firefox")</f>
        <v>Setup Multi Row Tabs in Firefox</v>
      </c>
      <c r="P750" s="11" t="s">
        <v>175</v>
      </c>
      <c r="AR750" s="11">
        <f>SUBTOTAL(3,_xlfn.SINGLE(tbl_pros[RowId]))</f>
        <v>1</v>
      </c>
    </row>
    <row r="751" spans="10:44">
      <c r="J751" s="4">
        <v>741</v>
      </c>
      <c r="K751" s="20" t="s">
        <v>50</v>
      </c>
      <c r="L751" s="2" t="s">
        <v>1562</v>
      </c>
      <c r="M751" s="4">
        <v>1</v>
      </c>
      <c r="N751" s="4" t="s">
        <v>1563</v>
      </c>
      <c r="O751" s="21" t="str">
        <f>HYPERLINK("obsidian://open?vault=o2&amp;file=Starter%20Vault%20Changelog.md","Starter Vault Changelog")</f>
        <v>Starter Vault Changelog</v>
      </c>
      <c r="P751" s="11" t="s">
        <v>175</v>
      </c>
      <c r="AR751" s="11">
        <f>SUBTOTAL(3,_xlfn.SINGLE(tbl_pros[RowId]))</f>
        <v>1</v>
      </c>
    </row>
    <row r="752" spans="10:44">
      <c r="J752" s="4">
        <v>742</v>
      </c>
      <c r="K752" s="20" t="s">
        <v>50</v>
      </c>
      <c r="L752" s="2" t="s">
        <v>1564</v>
      </c>
      <c r="M752" s="4">
        <v>5</v>
      </c>
      <c r="N752" s="4" t="s">
        <v>1565</v>
      </c>
      <c r="O752" s="21" t="str">
        <f>HYPERLINK("obsidian://open?vault=o2&amp;file=Template%20Debrief.md","Template Debrief")</f>
        <v>Template Debrief</v>
      </c>
      <c r="P752" s="11" t="s">
        <v>175</v>
      </c>
      <c r="Q752" s="21" t="str">
        <f>HYPERLINK("obsidian://open?vault=o2&amp;file=Template%20Explanations.md","Template Explanations")</f>
        <v>Template Explanations</v>
      </c>
      <c r="R752" s="11" t="s">
        <v>175</v>
      </c>
      <c r="S752" s="21" t="str">
        <f>HYPERLINK("obsidian://open?vault=o2&amp;file=%E2%9A%A1%20Learning%20Obsidian%20Project.md","⚡ Learning Obsidian Project")</f>
        <v>⚡ Learning Obsidian Project</v>
      </c>
      <c r="T752" s="11" t="s">
        <v>175</v>
      </c>
      <c r="U752" s="21" t="str">
        <f>HYPERLINK("obsidian://open?vault=o2&amp;file=DV%20Directory%20Lists.md","DV Directory Lists")</f>
        <v>DV Directory Lists</v>
      </c>
      <c r="V752" s="11" t="s">
        <v>175</v>
      </c>
      <c r="W752" s="21" t="str">
        <f>HYPERLINK("obsidian://open?vault=o2&amp;file=DV%20Implicit%20Fields.md","DV Implicit Fields")</f>
        <v>DV Implicit Fields</v>
      </c>
      <c r="X752" s="11" t="s">
        <v>175</v>
      </c>
      <c r="AR752" s="11">
        <f>SUBTOTAL(3,_xlfn.SINGLE(tbl_pros[RowId]))</f>
        <v>1</v>
      </c>
    </row>
    <row r="753" spans="10:44">
      <c r="J753" s="4">
        <v>743</v>
      </c>
      <c r="K753" s="20" t="s">
        <v>50</v>
      </c>
      <c r="L753" s="2" t="s">
        <v>1566</v>
      </c>
      <c r="M753" s="4">
        <v>1</v>
      </c>
      <c r="N753" s="4" t="s">
        <v>1567</v>
      </c>
      <c r="O753" s="21" t="str">
        <f>HYPERLINK("obsidian://open?vault=o2&amp;file=testing%20gevents%20offset.md","testing gevents offset")</f>
        <v>testing gevents offset</v>
      </c>
      <c r="P753" s="11" t="s">
        <v>175</v>
      </c>
      <c r="AR753" s="11">
        <f>SUBTOTAL(3,_xlfn.SINGLE(tbl_pros[RowId]))</f>
        <v>1</v>
      </c>
    </row>
    <row r="754" spans="10:44">
      <c r="J754" s="4">
        <v>744</v>
      </c>
      <c r="K754" s="20" t="s">
        <v>50</v>
      </c>
      <c r="L754" s="2" t="s">
        <v>1568</v>
      </c>
      <c r="M754" s="4">
        <v>2</v>
      </c>
      <c r="N754" s="4" t="s">
        <v>1569</v>
      </c>
      <c r="O754" s="21" t="str">
        <f>HYPERLINK("obsidian://open?vault=o2&amp;file=The%20Debian%20Series-users%20and%20groups%20management.md","The Debian Series-users and groups management")</f>
        <v>The Debian Series-users and groups management</v>
      </c>
      <c r="P754" s="11" t="s">
        <v>175</v>
      </c>
      <c r="Q754" s="21" t="str">
        <f>HYPERLINK("obsidian://open?vault=o2&amp;file=The%20usermod%20command.md","The usermod command")</f>
        <v>The usermod command</v>
      </c>
      <c r="R754" s="11" t="s">
        <v>175</v>
      </c>
      <c r="AR754" s="11">
        <f>SUBTOTAL(3,_xlfn.SINGLE(tbl_pros[RowId]))</f>
        <v>1</v>
      </c>
    </row>
    <row r="755" spans="10:44">
      <c r="J755" s="4">
        <v>745</v>
      </c>
      <c r="K755" s="20" t="s">
        <v>50</v>
      </c>
      <c r="L755" s="2" t="s">
        <v>1570</v>
      </c>
      <c r="M755" s="4">
        <v>1</v>
      </c>
      <c r="N755" s="4" t="s">
        <v>1571</v>
      </c>
      <c r="O755" s="21" t="str">
        <f>HYPERLINK("obsidian://open?vault=o2&amp;file=The%20usermod%20command.md","The usermod command")</f>
        <v>The usermod command</v>
      </c>
      <c r="P755" s="11" t="s">
        <v>175</v>
      </c>
      <c r="AR755" s="11">
        <f>SUBTOTAL(3,_xlfn.SINGLE(tbl_pros[RowId]))</f>
        <v>1</v>
      </c>
    </row>
    <row r="756" spans="10:44">
      <c r="J756" s="4">
        <v>746</v>
      </c>
      <c r="K756" s="20" t="s">
        <v>50</v>
      </c>
      <c r="L756" s="2" t="s">
        <v>1572</v>
      </c>
      <c r="M756" s="4">
        <v>3</v>
      </c>
      <c r="N756" s="4" t="s">
        <v>1573</v>
      </c>
      <c r="O756" s="21" t="str">
        <f>HYPERLINK("obsidian://open?vault=o2&amp;file=Untitled.md","Untitled")</f>
        <v>Untitled</v>
      </c>
      <c r="P756" s="11" t="s">
        <v>175</v>
      </c>
      <c r="Q756" s="21" t="str">
        <f>HYPERLINK("obsidian://open?vault=o2&amp;file=How%20to%20open%20an%20ssh%20powershell%20into%20CASAOS.md","How to open an ssh powershell into CASAOS")</f>
        <v>How to open an ssh powershell into CASAOS</v>
      </c>
      <c r="R756" s="11" t="s">
        <v>175</v>
      </c>
      <c r="S756" s="21" t="str">
        <f>HYPERLINK("obsidian://open?vault=o2&amp;file=Time%20to%20UNSUBSCRIBE%20from%20Disney%2B%2C%20Netflix%2C%20etc%21.md","Time to UNSUBSCRIBE from Disney+, Netflix, etc!")</f>
        <v>Time to UNSUBSCRIBE from Disney+, Netflix, etc!</v>
      </c>
      <c r="T756" s="11" t="s">
        <v>175</v>
      </c>
      <c r="AR756" s="11">
        <f>SUBTOTAL(3,_xlfn.SINGLE(tbl_pros[RowId]))</f>
        <v>1</v>
      </c>
    </row>
    <row r="757" spans="10:44">
      <c r="J757" s="4">
        <v>747</v>
      </c>
      <c r="K757" s="20" t="s">
        <v>50</v>
      </c>
      <c r="L757" s="2" t="s">
        <v>1574</v>
      </c>
      <c r="M757" s="4">
        <v>1</v>
      </c>
      <c r="N757" s="4" t="s">
        <v>1575</v>
      </c>
      <c r="O757" s="21" t="str">
        <f>HYPERLINK("obsidian://open?vault=o2&amp;file=Vault%20Troubleshooting.md","Vault Troubleshooting")</f>
        <v>Vault Troubleshooting</v>
      </c>
      <c r="P757" s="11" t="s">
        <v>175</v>
      </c>
      <c r="AR757" s="11">
        <f>SUBTOTAL(3,_xlfn.SINGLE(tbl_pros[RowId]))</f>
        <v>1</v>
      </c>
    </row>
    <row r="758" spans="10:44">
      <c r="J758" s="4">
        <v>748</v>
      </c>
      <c r="K758" s="20" t="s">
        <v>50</v>
      </c>
      <c r="L758" s="2" t="s">
        <v>1576</v>
      </c>
      <c r="M758" s="4">
        <v>1</v>
      </c>
      <c r="N758" s="4" t="s">
        <v>1577</v>
      </c>
      <c r="O758" s="21" t="str">
        <f>HYPERLINK("obsidian://open?vault=o2&amp;file=What%20I%20did%20to%20fix%20the%20BSOD%20on%20Boot.md","What I did to fix the BSOD on Boot")</f>
        <v>What I did to fix the BSOD on Boot</v>
      </c>
      <c r="P758" s="11" t="s">
        <v>175</v>
      </c>
      <c r="AR758" s="11">
        <f>SUBTOTAL(3,_xlfn.SINGLE(tbl_pros[RowId]))</f>
        <v>1</v>
      </c>
    </row>
    <row r="759" spans="10:44">
      <c r="J759" s="4">
        <v>749</v>
      </c>
      <c r="K759" s="20" t="s">
        <v>50</v>
      </c>
      <c r="L759" s="2" t="s">
        <v>1578</v>
      </c>
      <c r="M759" s="4">
        <v>1</v>
      </c>
      <c r="N759" s="4" t="s">
        <v>1579</v>
      </c>
      <c r="O759" s="21" t="str">
        <f>HYPERLINK("obsidian://open?vault=o2&amp;file=Wikipedia%20Portal%20Literature.md","Wikipedia Portal Literature")</f>
        <v>Wikipedia Portal Literature</v>
      </c>
      <c r="P759" s="11" t="s">
        <v>175</v>
      </c>
      <c r="AR759" s="11">
        <f>SUBTOTAL(3,_xlfn.SINGLE(tbl_pros[RowId]))</f>
        <v>1</v>
      </c>
    </row>
    <row r="760" spans="10:44">
      <c r="J760" s="4">
        <v>750</v>
      </c>
      <c r="K760" s="20" t="s">
        <v>50</v>
      </c>
      <c r="L760" s="2" t="s">
        <v>1580</v>
      </c>
      <c r="M760" s="4">
        <v>2</v>
      </c>
      <c r="N760" s="4" t="s">
        <v>1581</v>
      </c>
      <c r="O760" s="21" t="str">
        <f>HYPERLINK("obsidian://open?vault=o2&amp;file=Wikipedia%20Portal%20Literature.md","Wikipedia Portal Literature")</f>
        <v>Wikipedia Portal Literature</v>
      </c>
      <c r="P760" s="11" t="s">
        <v>175</v>
      </c>
      <c r="Q760" s="21" t="str">
        <f>HYPERLINK("obsidian://open?vault=o2&amp;file=How%20to%20Create%20So%20Much%20They%20Can%E2%80%99t%20Ignore%20You.md","How to Create So Much They Can’t Ignore You")</f>
        <v>How to Create So Much They Can’t Ignore You</v>
      </c>
      <c r="R760" s="11" t="s">
        <v>175</v>
      </c>
      <c r="AR760" s="11">
        <f>SUBTOTAL(3,_xlfn.SINGLE(tbl_pros[RowId]))</f>
        <v>1</v>
      </c>
    </row>
    <row r="761" spans="10:44">
      <c r="J761" s="4">
        <v>751</v>
      </c>
      <c r="K761" s="20" t="s">
        <v>50</v>
      </c>
      <c r="L761" s="2" t="s">
        <v>1582</v>
      </c>
      <c r="M761" s="4">
        <v>11</v>
      </c>
      <c r="N761" s="4" t="s">
        <v>1583</v>
      </c>
      <c r="O761" s="21" t="str">
        <f>HYPERLINK("obsidian://open?vault=o2&amp;file=%E2%99%BB%EF%B8%8F%20My%20Habits.md","♻️ My Habits")</f>
        <v>♻️ My Habits</v>
      </c>
      <c r="P761" s="11" t="s">
        <v>175</v>
      </c>
      <c r="Q761" s="21" t="str">
        <f>HYPERLINK("obsidian://open?vault=o2&amp;file=%E2%9A%93%20My%20Areas.md","⚓ My Areas")</f>
        <v>⚓ My Areas</v>
      </c>
      <c r="R761" s="11" t="s">
        <v>175</v>
      </c>
      <c r="S761" s="21" t="str">
        <f>HYPERLINK("obsidian://open?vault=o2&amp;file=%F0%9F%8C%9E%20My%20Greenhouse.md","🌞 My Greenhouse")</f>
        <v>🌞 My Greenhouse</v>
      </c>
      <c r="T761" s="11" t="s">
        <v>175</v>
      </c>
      <c r="U761" s="21" t="str">
        <f>HYPERLINK("obsidian://open?vault=o2&amp;file=%F0%9F%92%A1%20My%20Brainstorms.md","💡 My Brainstorms")</f>
        <v>💡 My Brainstorms</v>
      </c>
      <c r="V761" s="11" t="s">
        <v>175</v>
      </c>
      <c r="W761" s="21" t="str">
        <f>HYPERLINK("obsidian://open?vault=o2&amp;file=%F0%9F%93%81%20My%20Archives.md","📁 My Archives")</f>
        <v>📁 My Archives</v>
      </c>
      <c r="X761" s="11" t="s">
        <v>175</v>
      </c>
      <c r="Y761" s="21" t="str">
        <f>HYPERLINK("obsidian://open?vault=o2&amp;file=%F0%9F%93%86%20My%20Periodic%20Reviews.md","📆 My Periodic Reviews")</f>
        <v>📆 My Periodic Reviews</v>
      </c>
      <c r="Z761" s="11" t="s">
        <v>175</v>
      </c>
      <c r="AA761" s="21" t="str">
        <f>HYPERLINK("obsidian://open?vault=o2&amp;file=%F0%9F%93%9A%20My%20Books.md","📚 My Books")</f>
        <v>📚 My Books</v>
      </c>
      <c r="AB761" s="11" t="s">
        <v>175</v>
      </c>
      <c r="AC761" s="21" t="str">
        <f>HYPERLINK("obsidian://open?vault=o2&amp;file=%F0%9F%93%A5%20My%20Inputs.md","📥 My Inputs")</f>
        <v>📥 My Inputs</v>
      </c>
      <c r="AD761" s="11" t="s">
        <v>175</v>
      </c>
      <c r="AE761" s="21" t="str">
        <f>HYPERLINK("obsidian://open?vault=o2&amp;file=%E2%9A%A1%20My%20Projects.md","⚡ My Projects")</f>
        <v>⚡ My Projects</v>
      </c>
      <c r="AF761" s="11" t="s">
        <v>175</v>
      </c>
      <c r="AG761" s="21" t="str">
        <f>HYPERLINK("obsidian://open?vault=o2&amp;file=%F0%9F%93%8C%20My%20Kanbans.md","📌 My Kanbans")</f>
        <v>📌 My Kanbans</v>
      </c>
      <c r="AH761" s="11" t="s">
        <v>175</v>
      </c>
      <c r="AI761" s="21" t="str">
        <f>HYPERLINK("obsidian://open?vault=o2&amp;file=%F0%9F%A6%8B%20My%20Resources.md","🦋 My Resources")</f>
        <v>🦋 My Resources</v>
      </c>
      <c r="AJ761" s="11" t="s">
        <v>175</v>
      </c>
      <c r="AR761" s="11">
        <f>SUBTOTAL(3,_xlfn.SINGLE(tbl_pros[RowId]))</f>
        <v>1</v>
      </c>
    </row>
    <row r="762" spans="10:44">
      <c r="J762" s="4">
        <v>752</v>
      </c>
      <c r="K762" s="20" t="s">
        <v>50</v>
      </c>
      <c r="L762" s="2" t="s">
        <v>1584</v>
      </c>
      <c r="M762" s="4">
        <v>1</v>
      </c>
      <c r="N762" s="4" t="s">
        <v>1585</v>
      </c>
      <c r="O762" s="21" t="str">
        <f>HYPERLINK("obsidian://open?vault=o2&amp;file=%E2%9A%92%EF%B8%8F%20FUE%20-%20Frequently%20Used%20Emoji%27s.md","⚒️ FUE - Frequently Used Emoji's")</f>
        <v>⚒️ FUE - Frequently Used Emoji's</v>
      </c>
      <c r="P762" s="11" t="s">
        <v>175</v>
      </c>
      <c r="AR762" s="11">
        <f>SUBTOTAL(3,_xlfn.SINGLE(tbl_pros[RowId]))</f>
        <v>1</v>
      </c>
    </row>
    <row r="763" spans="10:44">
      <c r="J763" s="4">
        <v>753</v>
      </c>
      <c r="K763" s="20" t="s">
        <v>50</v>
      </c>
      <c r="L763" s="2" t="s">
        <v>1586</v>
      </c>
      <c r="M763" s="4">
        <v>1</v>
      </c>
      <c r="N763" s="4" t="s">
        <v>1587</v>
      </c>
      <c r="O763" s="21" t="str">
        <f>HYPERLINK("obsidian://open?vault=o2&amp;file=%E2%9A%92%EF%B8%8F%20FUN%20-%20Frequently%20Used%20Notes.md","⚒️ FUN - Frequently Used Notes")</f>
        <v>⚒️ FUN - Frequently Used Notes</v>
      </c>
      <c r="P763" s="11" t="s">
        <v>175</v>
      </c>
      <c r="AR763" s="11">
        <f>SUBTOTAL(3,_xlfn.SINGLE(tbl_pros[RowId]))</f>
        <v>1</v>
      </c>
    </row>
    <row r="764" spans="10:44">
      <c r="J764" s="4">
        <v>754</v>
      </c>
      <c r="K764" s="20" t="s">
        <v>50</v>
      </c>
      <c r="L764" s="2" t="s">
        <v>1588</v>
      </c>
      <c r="M764" s="4">
        <v>2</v>
      </c>
      <c r="N764" s="4" t="s">
        <v>1589</v>
      </c>
      <c r="O764" s="21" t="str">
        <f>HYPERLINK("obsidian://open?vault=o2&amp;file=%E2%9A%92%EF%B8%8F%20My%20Toolbox.md","⚒️ My Toolbox")</f>
        <v>⚒️ My Toolbox</v>
      </c>
      <c r="P764" s="11" t="s">
        <v>175</v>
      </c>
      <c r="Q764" s="21" t="str">
        <f>HYPERLINK("obsidian://open?vault=o2&amp;file=%E2%9A%A1%20Learning%20Obsidian%20Project.md","⚡ Learning Obsidian Project")</f>
        <v>⚡ Learning Obsidian Project</v>
      </c>
      <c r="R764" s="11" t="s">
        <v>175</v>
      </c>
      <c r="AR764" s="11">
        <f>SUBTOTAL(3,_xlfn.SINGLE(tbl_pros[RowId]))</f>
        <v>1</v>
      </c>
    </row>
    <row r="765" spans="10:44">
      <c r="J765" s="4">
        <v>755</v>
      </c>
      <c r="K765" s="20" t="s">
        <v>50</v>
      </c>
      <c r="L765" s="2" t="s">
        <v>1590</v>
      </c>
      <c r="M765" s="4">
        <v>1</v>
      </c>
      <c r="N765" s="4" t="s">
        <v>1591</v>
      </c>
      <c r="O765" s="21" t="str">
        <f>HYPERLINK("obsidian://open?vault=o2&amp;file=%E2%9A%92%EF%B8%8F%20My%20Toolbox.md","⚒️ My Toolbox")</f>
        <v>⚒️ My Toolbox</v>
      </c>
      <c r="P765" s="11" t="s">
        <v>175</v>
      </c>
      <c r="AR765" s="11">
        <f>SUBTOTAL(3,_xlfn.SINGLE(tbl_pros[RowId]))</f>
        <v>1</v>
      </c>
    </row>
    <row r="766" spans="10:44">
      <c r="J766" s="4">
        <v>756</v>
      </c>
      <c r="K766" s="20" t="s">
        <v>50</v>
      </c>
      <c r="L766" s="2" t="s">
        <v>1592</v>
      </c>
      <c r="M766" s="4">
        <v>3</v>
      </c>
      <c r="N766" s="4" t="s">
        <v>1593</v>
      </c>
      <c r="O766" s="21" t="str">
        <f>HYPERLINK("obsidian://open?vault=o2&amp;file=%E2%9A%92%EF%B8%8F%20Orphans.md","⚒️ Orphans")</f>
        <v>⚒️ Orphans</v>
      </c>
      <c r="P766" s="11" t="s">
        <v>175</v>
      </c>
      <c r="Q766" s="21" t="str">
        <f>HYPERLINK("obsidian://open?vault=o2&amp;file=%E2%9A%92%EF%B8%8F%20FUT%20-%20Frequently%20Used%20Tags.md","⚒️ FUT - Frequently Used Tags")</f>
        <v>⚒️ FUT - Frequently Used Tags</v>
      </c>
      <c r="R766" s="11" t="s">
        <v>175</v>
      </c>
      <c r="S766" s="21" t="str">
        <f>HYPERLINK("obsidian://open?vault=o2&amp;file=%E2%9A%92%EF%B8%8F%20Tag%20Usage%20Queries.md","⚒️ Tag Usage Queries")</f>
        <v>⚒️ Tag Usage Queries</v>
      </c>
      <c r="T766" s="11" t="s">
        <v>175</v>
      </c>
      <c r="AR766" s="11">
        <f>SUBTOTAL(3,_xlfn.SINGLE(tbl_pros[RowId]))</f>
        <v>1</v>
      </c>
    </row>
    <row r="767" spans="10:44">
      <c r="J767" s="4">
        <v>757</v>
      </c>
      <c r="K767" s="20" t="s">
        <v>50</v>
      </c>
      <c r="L767" s="2" t="s">
        <v>1594</v>
      </c>
      <c r="M767" s="4">
        <v>3</v>
      </c>
      <c r="N767" s="4" t="s">
        <v>1595</v>
      </c>
      <c r="O767" s="21" t="str">
        <f>HYPERLINK("obsidian://open?vault=o2&amp;file=%E2%9A%A1%20Build%20118th%20Congress%20Spreadsheet.md","⚡ Build 118th Congress Spreadsheet")</f>
        <v>⚡ Build 118th Congress Spreadsheet</v>
      </c>
      <c r="P767" s="11" t="s">
        <v>175</v>
      </c>
      <c r="Q767" s="21" t="str">
        <f>HYPERLINK("obsidian://open?vault=o2&amp;file=%E2%9A%A1%20Add%20Notebook%20Areas%20and%20Resources%20Project.md","⚡ Add Notebook Areas and Resources Project")</f>
        <v>⚡ Add Notebook Areas and Resources Project</v>
      </c>
      <c r="R767" s="11" t="s">
        <v>175</v>
      </c>
      <c r="S767" s="21" t="str">
        <f>HYPERLINK("obsidian://open?vault=o2&amp;file=Homesale%20Timeline.md","Homesale Timeline")</f>
        <v>Homesale Timeline</v>
      </c>
      <c r="T767" s="11" t="s">
        <v>175</v>
      </c>
      <c r="AR767" s="11">
        <f>SUBTOTAL(3,_xlfn.SINGLE(tbl_pros[RowId]))</f>
        <v>1</v>
      </c>
    </row>
    <row r="768" spans="10:44">
      <c r="J768" s="4">
        <v>758</v>
      </c>
      <c r="K768" s="20" t="s">
        <v>50</v>
      </c>
      <c r="L768" s="2" t="s">
        <v>1596</v>
      </c>
      <c r="M768" s="4">
        <v>7</v>
      </c>
      <c r="N768" s="4" t="s">
        <v>1597</v>
      </c>
      <c r="O768" s="21" t="str">
        <f>HYPERLINK("obsidian://open?vault=o2&amp;file=%F0%9F%8F%A0%20My%20Home.md","🏠 My Home")</f>
        <v>🏠 My Home</v>
      </c>
      <c r="P768" s="11" t="s">
        <v>175</v>
      </c>
      <c r="Q768" s="21" t="str">
        <f>HYPERLINK("obsidian://open?vault=o2&amp;file=%E2%9A%93%20AA%20Recovery.md","⚓ AA Recovery")</f>
        <v>⚓ AA Recovery</v>
      </c>
      <c r="R768" s="11" t="s">
        <v>175</v>
      </c>
      <c r="S768" s="21" t="str">
        <f>HYPERLINK("obsidian://open?vault=o2&amp;file=%E2%9A%93%20CWS.md","⚓ CWS")</f>
        <v>⚓ CWS</v>
      </c>
      <c r="T768" s="11" t="s">
        <v>175</v>
      </c>
      <c r="U768" s="21" t="str">
        <f>HYPERLINK("obsidian://open?vault=o2&amp;file=%E2%9A%93%20Family.md","⚓ Family")</f>
        <v>⚓ Family</v>
      </c>
      <c r="V768" s="11" t="s">
        <v>175</v>
      </c>
      <c r="W768" s="21" t="str">
        <f>HYPERLINK("obsidian://open?vault=o2&amp;file=%E2%9A%93%20Finances.md","⚓ Finances")</f>
        <v>⚓ Finances</v>
      </c>
      <c r="X768" s="11" t="s">
        <v>175</v>
      </c>
      <c r="Y768" s="21" t="str">
        <f>HYPERLINK("obsidian://open?vault=o2&amp;file=%E2%9A%93%20Health.md","⚓ Health")</f>
        <v>⚓ Health</v>
      </c>
      <c r="Z768" s="11" t="s">
        <v>175</v>
      </c>
      <c r="AA768" s="21" t="str">
        <f>HYPERLINK("obsidian://open?vault=o2&amp;file=Area%20Template.md","Area Template")</f>
        <v>Area Template</v>
      </c>
      <c r="AB768" s="11" t="s">
        <v>175</v>
      </c>
      <c r="AR768" s="11">
        <f>SUBTOTAL(3,_xlfn.SINGLE(tbl_pros[RowId]))</f>
        <v>1</v>
      </c>
    </row>
    <row r="769" spans="10:44">
      <c r="J769" s="4">
        <v>759</v>
      </c>
      <c r="K769" s="20" t="s">
        <v>50</v>
      </c>
      <c r="L769" s="2" t="s">
        <v>1598</v>
      </c>
      <c r="M769" s="4">
        <v>20</v>
      </c>
      <c r="N769" s="4" t="s">
        <v>1599</v>
      </c>
      <c r="O769" s="21" t="str">
        <f>HYPERLINK("obsidian://open?vault=o2&amp;file=%F0%9F%8F%A0%20My%20Home.md","🏠 My Home")</f>
        <v>🏠 My Home</v>
      </c>
      <c r="P769" s="11" t="s">
        <v>175</v>
      </c>
      <c r="Q769" s="21" t="str">
        <f>HYPERLINK("obsidian://open?vault=o2&amp;file=%E2%9A%A1%20Add%20Notebook%20Areas%20and%20Resources%20Project.md","⚡ Add Notebook Areas and Resources Project")</f>
        <v>⚡ Add Notebook Areas and Resources Project</v>
      </c>
      <c r="R769" s="11" t="s">
        <v>175</v>
      </c>
      <c r="S769" s="21" t="str">
        <f>HYPERLINK("obsidian://open?vault=o2&amp;file=%F0%9F%93%8C%20My%20Kanbans.md","📌 My Kanbans")</f>
        <v>📌 My Kanbans</v>
      </c>
      <c r="T769" s="11" t="s">
        <v>175</v>
      </c>
      <c r="U769" s="21" t="str">
        <f>HYPERLINK("obsidian://open?vault=o2&amp;file=%E2%9A%A1%20CasaOS%20Project.md","⚡ CasaOS Project")</f>
        <v>⚡ CasaOS Project</v>
      </c>
      <c r="V769" s="11" t="s">
        <v>175</v>
      </c>
      <c r="W769" s="21" t="str">
        <f>HYPERLINK("obsidian://open?vault=o2&amp;file=%E2%9A%A1%20Cheatsheets%20Library.md","⚡ Cheatsheets Library")</f>
        <v>⚡ Cheatsheets Library</v>
      </c>
      <c r="X769" s="11" t="s">
        <v>175</v>
      </c>
      <c r="Y769" s="21" t="str">
        <f>HYPERLINK("obsidian://open?vault=o2&amp;file=%E2%9A%A1%20Coding.md","⚡ Coding")</f>
        <v>⚡ Coding</v>
      </c>
      <c r="Z769" s="11" t="s">
        <v>175</v>
      </c>
      <c r="AA769" s="21" t="str">
        <f>HYPERLINK("obsidian://open?vault=o2&amp;file=%E2%9A%A1%20Create%20a%20Recipe%20Cookbook.md","⚡ Create a Recipe Cookbook")</f>
        <v>⚡ Create a Recipe Cookbook</v>
      </c>
      <c r="AB769" s="11" t="s">
        <v>175</v>
      </c>
      <c r="AC769" s="21" t="str">
        <f>HYPERLINK("obsidian://open?vault=o2&amp;file=%E2%9A%A1%20Debug%20metaCatchall%20Project.md","⚡ Debug metaCatchall Project")</f>
        <v>⚡ Debug metaCatchall Project</v>
      </c>
      <c r="AD769" s="11" t="s">
        <v>175</v>
      </c>
      <c r="AE769" s="21" t="str">
        <f>HYPERLINK("obsidian://open?vault=o2&amp;file=%E2%9A%A1%20Home%20Project.md","⚡ Home Project")</f>
        <v>⚡ Home Project</v>
      </c>
      <c r="AF769" s="11" t="s">
        <v>175</v>
      </c>
      <c r="AG769" s="21" t="str">
        <f>HYPERLINK("obsidian://open?vault=o2&amp;file=%E2%9A%A1%20Learn%20Python%20and%20OOP%20Project.md","⚡ Learn Python and OOP Project")</f>
        <v>⚡ Learn Python and OOP Project</v>
      </c>
      <c r="AH769" s="11" t="s">
        <v>175</v>
      </c>
      <c r="AI769" s="21" t="str">
        <f>HYPERLINK("obsidian://open?vault=o2&amp;file=%E2%9A%A1%20Learning%20iOS%20Project.md","⚡ Learning iOS Project")</f>
        <v>⚡ Learning iOS Project</v>
      </c>
      <c r="AJ769" s="11" t="s">
        <v>175</v>
      </c>
      <c r="AK769" s="21" t="str">
        <f>HYPERLINK("obsidian://open?vault=o2&amp;file=%E2%9A%A1%20Learning%20Obsidian%20Project.md","⚡ Learning Obsidian Project")</f>
        <v>⚡ Learning Obsidian Project</v>
      </c>
      <c r="AL769" s="11" t="s">
        <v>175</v>
      </c>
      <c r="AM769" s="21" t="str">
        <f>HYPERLINK("obsidian://open?vault=o2&amp;file=%E2%9A%A1%20Media%20Project.md","⚡ Media Project")</f>
        <v>⚡ Media Project</v>
      </c>
      <c r="AN769" s="11" t="s">
        <v>175</v>
      </c>
      <c r="AO769" s="21" t="str">
        <f>HYPERLINK("obsidian://open?vault=o2&amp;file=%E2%9A%A1%20Money%20Management%20Project.md","⚡ Money Management Project")</f>
        <v>⚡ Money Management Project</v>
      </c>
      <c r="AP769" s="11" t="s">
        <v>175</v>
      </c>
      <c r="AQ769" s="21" t="str">
        <f>HYPERLINK("obsidian://open?vault=o2&amp;file=%E2%9A%A1%20Office%20Desk%20Design%20Project.md","⚡ Office Desk Design Project")</f>
        <v>⚡ Office Desk Design Project</v>
      </c>
      <c r="AR769" s="11">
        <f>SUBTOTAL(3,_xlfn.SINGLE(tbl_pros[RowId]))</f>
        <v>1</v>
      </c>
    </row>
    <row r="770" spans="10:44">
      <c r="J770" s="4">
        <v>760</v>
      </c>
      <c r="K770" s="20" t="s">
        <v>50</v>
      </c>
      <c r="L770" s="2" t="s">
        <v>1600</v>
      </c>
      <c r="M770" s="4">
        <v>15</v>
      </c>
      <c r="N770" s="4" t="s">
        <v>1601</v>
      </c>
      <c r="O770" s="21" t="str">
        <f>HYPERLINK("obsidian://open?vault=o2&amp;file=%F0%9F%8F%A0%20My%20Home.md","🏠 My Home")</f>
        <v>🏠 My Home</v>
      </c>
      <c r="P770" s="11" t="s">
        <v>175</v>
      </c>
      <c r="Q770" s="21" t="str">
        <f>HYPERLINK("obsidian://open?vault=o2&amp;file=%F0%9F%A6%8B%20Art.md","🦋 Art")</f>
        <v>🦋 Art</v>
      </c>
      <c r="R770" s="11" t="s">
        <v>175</v>
      </c>
      <c r="S770" s="21" t="str">
        <f>HYPERLINK("obsidian://open?vault=o2&amp;file=%F0%9F%A6%8B%20Astronomy.md","🦋 Astronomy")</f>
        <v>🦋 Astronomy</v>
      </c>
      <c r="T770" s="11" t="s">
        <v>175</v>
      </c>
      <c r="U770" s="21" t="str">
        <f>HYPERLINK("obsidian://open?vault=o2&amp;file=%F0%9F%A6%8B%20Brain2.md","🦋 Brain2")</f>
        <v>🦋 Brain2</v>
      </c>
      <c r="V770" s="11" t="s">
        <v>175</v>
      </c>
      <c r="W770" s="21" t="str">
        <f>HYPERLINK("obsidian://open?vault=o2&amp;file=%F0%9F%A6%8B%20Cheatsheets.md","🦋 Cheatsheets")</f>
        <v>🦋 Cheatsheets</v>
      </c>
      <c r="X770" s="11" t="s">
        <v>175</v>
      </c>
      <c r="Y770" s="21" t="str">
        <f>HYPERLINK("obsidian://open?vault=o2&amp;file=%F0%9F%A6%8B%20Coding.md","🦋 Coding")</f>
        <v>🦋 Coding</v>
      </c>
      <c r="Z770" s="11" t="s">
        <v>175</v>
      </c>
      <c r="AA770" s="21" t="str">
        <f>HYPERLINK("obsidian://open?vault=o2&amp;file=%F0%9F%A6%8B%20Computers.md","🦋 Computers")</f>
        <v>🦋 Computers</v>
      </c>
      <c r="AB770" s="11" t="s">
        <v>175</v>
      </c>
      <c r="AC770" s="21" t="str">
        <f>HYPERLINK("obsidian://open?vault=o2&amp;file=%F0%9F%A6%8B%20Cooking.md","🦋 Cooking")</f>
        <v>🦋 Cooking</v>
      </c>
      <c r="AD770" s="11" t="s">
        <v>175</v>
      </c>
      <c r="AE770" s="21" t="str">
        <f>HYPERLINK("obsidian://open?vault=o2&amp;file=%F0%9F%A6%8B%20Design.md","🦋 Design")</f>
        <v>🦋 Design</v>
      </c>
      <c r="AF770" s="11" t="s">
        <v>175</v>
      </c>
      <c r="AG770" s="21" t="str">
        <f>HYPERLINK("obsidian://open?vault=o2&amp;file=%F0%9F%A6%8B%20Genealogy.md","🦋 Genealogy")</f>
        <v>🦋 Genealogy</v>
      </c>
      <c r="AH770" s="11" t="s">
        <v>175</v>
      </c>
      <c r="AI770" s="21" t="str">
        <f>HYPERLINK("obsidian://open?vault=o2&amp;file=%F0%9F%A6%8B%20Home.md","🦋 Home")</f>
        <v>🦋 Home</v>
      </c>
      <c r="AJ770" s="11" t="s">
        <v>175</v>
      </c>
      <c r="AK770" s="21" t="str">
        <f>HYPERLINK("obsidian://open?vault=o2&amp;file=%F0%9F%A6%8B%20Media.md","🦋 Media")</f>
        <v>🦋 Media</v>
      </c>
      <c r="AL770" s="11" t="s">
        <v>175</v>
      </c>
      <c r="AM770" s="21" t="str">
        <f>HYPERLINK("obsidian://open?vault=o2&amp;file=%F0%9F%A6%8B%20Music.md","🦋 Music")</f>
        <v>🦋 Music</v>
      </c>
      <c r="AN770" s="11" t="s">
        <v>175</v>
      </c>
      <c r="AO770" s="21" t="str">
        <f>HYPERLINK("obsidian://open?vault=o2&amp;file=%F0%9F%A6%8B%20Travel.md","🦋 Travel")</f>
        <v>🦋 Travel</v>
      </c>
      <c r="AP770" s="11" t="s">
        <v>175</v>
      </c>
      <c r="AQ770" s="21" t="str">
        <f>HYPERLINK("obsidian://open?vault=o2&amp;file=%F0%9F%A6%8B%20Writing.md","🦋 Writing")</f>
        <v>🦋 Writing</v>
      </c>
      <c r="AR770" s="11">
        <f>SUBTOTAL(3,_xlfn.SINGLE(tbl_pros[RowId]))</f>
        <v>1</v>
      </c>
    </row>
    <row r="771" spans="10:44">
      <c r="J771" s="4">
        <v>761</v>
      </c>
      <c r="K771" s="20" t="s">
        <v>50</v>
      </c>
      <c r="L771" s="2" t="s">
        <v>1602</v>
      </c>
      <c r="M771" s="4">
        <v>7</v>
      </c>
      <c r="N771" s="4" t="s">
        <v>1603</v>
      </c>
      <c r="O771" s="21" t="str">
        <f>HYPERLINK("obsidian://open?vault=o2&amp;file=%F0%9F%92%A1%20AA%20Meeting%20Topics.md","💡 AA Meeting Topics")</f>
        <v>💡 AA Meeting Topics</v>
      </c>
      <c r="P771" s="11" t="s">
        <v>175</v>
      </c>
      <c r="Q771" s="21" t="str">
        <f>HYPERLINK("obsidian://open?vault=o2&amp;file=%F0%9F%92%A1%20Create%20a%20JS%20tool%20to%20do%20scoped%20searches.md","💡 Create a JS tool to do scoped searches")</f>
        <v>💡 Create a JS tool to do scoped searches</v>
      </c>
      <c r="R771" s="11" t="s">
        <v>175</v>
      </c>
      <c r="S771" s="21" t="str">
        <f>HYPERLINK("obsidian://open?vault=o2&amp;file=%F0%9F%92%A1%20Idea%20to%20extend%20v_chk%20Wb%20Engine.md","💡 Idea to extend v_chk Wb Engine")</f>
        <v>💡 Idea to extend v_chk Wb Engine</v>
      </c>
      <c r="T771" s="11" t="s">
        <v>175</v>
      </c>
      <c r="U771" s="21" t="str">
        <f>HYPERLINK("obsidian://open?vault=o2&amp;file=%F0%9F%92%A1%20Color%20Study%20for%20OpenPyXl%20and%20v_chk.md","💡 Color Study for OpenPyXl and v_chk")</f>
        <v>💡 Color Study for OpenPyXl and v_chk</v>
      </c>
      <c r="V771" s="11" t="s">
        <v>175</v>
      </c>
      <c r="W771" s="21" t="str">
        <f>HYPERLINK("obsidian://open?vault=o2&amp;file=%F0%9F%92%A1%20Poetry%20Ideas.md","💡 Poetry Ideas")</f>
        <v>💡 Poetry Ideas</v>
      </c>
      <c r="X771" s="11" t="s">
        <v>175</v>
      </c>
      <c r="Y771" s="21" t="str">
        <f>HYPERLINK("obsidian://open?vault=o2&amp;file=Brainstorming%20Template.md","Brainstorming Template")</f>
        <v>Brainstorming Template</v>
      </c>
      <c r="Z771" s="11" t="s">
        <v>175</v>
      </c>
      <c r="AA771" s="21" t="str">
        <f>HYPERLINK("obsidian://open?vault=o2&amp;file=Code%20Doc%20Template.md","Code Doc Template")</f>
        <v>Code Doc Template</v>
      </c>
      <c r="AB771" s="11" t="s">
        <v>175</v>
      </c>
      <c r="AR771" s="11">
        <f>SUBTOTAL(3,_xlfn.SINGLE(tbl_pros[RowId]))</f>
        <v>1</v>
      </c>
    </row>
    <row r="772" spans="10:44">
      <c r="J772" s="4">
        <v>762</v>
      </c>
      <c r="K772" s="20" t="s">
        <v>50</v>
      </c>
      <c r="L772" s="2" t="s">
        <v>1604</v>
      </c>
      <c r="M772" s="4">
        <v>4</v>
      </c>
      <c r="N772" s="4" t="s">
        <v>1605</v>
      </c>
      <c r="O772" s="21" t="str">
        <f>HYPERLINK("obsidian://open?vault=o2&amp;file=%F0%9F%92%A1%20New%20Obsidian%20Video.md","💡 New Obsidian Video")</f>
        <v>💡 New Obsidian Video</v>
      </c>
      <c r="P772" s="11" t="s">
        <v>175</v>
      </c>
      <c r="Q772" s="21" t="str">
        <f>HYPERLINK("obsidian://open?vault=o2&amp;file=%F0%9F%92%A1%20Rebirth%20CWS.md","💡 Rebirth CWS")</f>
        <v>💡 Rebirth CWS</v>
      </c>
      <c r="R772" s="11" t="s">
        <v>175</v>
      </c>
      <c r="S772" s="21" t="str">
        <f>HYPERLINK("obsidian://open?vault=o2&amp;file=%F0%9F%92%A1%20test9.md","💡 test9")</f>
        <v>💡 test9</v>
      </c>
      <c r="T772" s="11" t="s">
        <v>175</v>
      </c>
      <c r="U772" s="21" t="str">
        <f>HYPERLINK("obsidian://open?vault=o2&amp;file=%F0%9F%92%A1%20Youtube%20and%20long%20title%20note%20automation.md","💡 Youtube and long title note automation")</f>
        <v>💡 Youtube and long title note automation</v>
      </c>
      <c r="V772" s="11" t="s">
        <v>175</v>
      </c>
      <c r="AR772" s="11">
        <f>SUBTOTAL(3,_xlfn.SINGLE(tbl_pros[RowId]))</f>
        <v>1</v>
      </c>
    </row>
    <row r="773" spans="10:44">
      <c r="J773" s="4">
        <v>763</v>
      </c>
      <c r="K773" s="20" t="s">
        <v>50</v>
      </c>
      <c r="L773" s="2" t="s">
        <v>1606</v>
      </c>
      <c r="M773" s="4">
        <v>1</v>
      </c>
      <c r="N773" s="4" t="s">
        <v>1607</v>
      </c>
      <c r="O773" s="21" t="str">
        <f>HYPERLINK("obsidian://open?vault=o2&amp;file=%F0%9F%92%AD%20My%20Thoughts.md","💭 My Thoughts")</f>
        <v>💭 My Thoughts</v>
      </c>
      <c r="P773" s="11" t="s">
        <v>175</v>
      </c>
      <c r="AR773" s="11">
        <f>SUBTOTAL(3,_xlfn.SINGLE(tbl_pros[RowId]))</f>
        <v>1</v>
      </c>
    </row>
    <row r="774" spans="10:44">
      <c r="J774" s="4">
        <v>764</v>
      </c>
      <c r="K774" s="20" t="s">
        <v>50</v>
      </c>
      <c r="L774" s="2" t="s">
        <v>1608</v>
      </c>
      <c r="M774" s="4">
        <v>1</v>
      </c>
      <c r="N774" s="4" t="s">
        <v>1609</v>
      </c>
      <c r="O774" s="21" t="str">
        <f>HYPERLINK("obsidian://open?vault=o2&amp;file=%F0%9F%92%AD%20There%20is%20too%20much%20content%20to%20consume.md","💭 There is too much content to consume")</f>
        <v>💭 There is too much content to consume</v>
      </c>
      <c r="P774" s="11" t="s">
        <v>175</v>
      </c>
      <c r="AR774" s="11">
        <f>SUBTOTAL(3,_xlfn.SINGLE(tbl_pros[RowId]))</f>
        <v>1</v>
      </c>
    </row>
    <row r="775" spans="10:44">
      <c r="J775" s="4">
        <v>765</v>
      </c>
      <c r="K775" s="20" t="s">
        <v>50</v>
      </c>
      <c r="L775" s="2" t="s">
        <v>1610</v>
      </c>
      <c r="M775" s="4">
        <v>1</v>
      </c>
      <c r="N775" s="4" t="s">
        <v>1611</v>
      </c>
      <c r="O775" s="21" t="str">
        <f>HYPERLINK("obsidian://open?vault=o2&amp;file=%F0%9F%93%A5%20My%20Inputs%20Workflow.md","📥 My Inputs Workflow")</f>
        <v>📥 My Inputs Workflow</v>
      </c>
      <c r="P775" s="11" t="s">
        <v>175</v>
      </c>
      <c r="AR775" s="11">
        <f>SUBTOTAL(3,_xlfn.SINGLE(tbl_pros[RowId]))</f>
        <v>1</v>
      </c>
    </row>
    <row r="776" spans="10:44">
      <c r="J776" s="4">
        <v>766</v>
      </c>
      <c r="K776" s="20" t="s">
        <v>50</v>
      </c>
      <c r="L776" s="2" t="s">
        <v>1612</v>
      </c>
      <c r="M776" s="4">
        <v>2</v>
      </c>
      <c r="N776" s="4" t="s">
        <v>1613</v>
      </c>
      <c r="O776" s="21" t="str">
        <f>HYPERLINK("obsidian://open?vault=o2&amp;file=%F0%9F%97%BA%EF%B8%8F%20Cooking%20MOC.md","🗺️ Cooking MOC")</f>
        <v>🗺️ Cooking MOC</v>
      </c>
      <c r="P776" s="11" t="s">
        <v>175</v>
      </c>
      <c r="Q776" s="21" t="str">
        <f>HYPERLINK("obsidian://open?vault=o2&amp;file=Franks%27s%20Buffallo%20Chicken%20Dip.md","Franks's Buffallo Chicken Dip")</f>
        <v>Franks's Buffallo Chicken Dip</v>
      </c>
      <c r="R776" s="11" t="s">
        <v>175</v>
      </c>
      <c r="AR776" s="11">
        <f>SUBTOTAL(3,_xlfn.SINGLE(tbl_pros[RowId]))</f>
        <v>1</v>
      </c>
    </row>
    <row r="777" spans="10:44">
      <c r="J777" s="4">
        <v>767</v>
      </c>
      <c r="K777" s="20" t="s">
        <v>50</v>
      </c>
      <c r="L777" s="2" t="s">
        <v>1614</v>
      </c>
      <c r="M777" s="4">
        <v>2</v>
      </c>
      <c r="N777" s="4" t="s">
        <v>1615</v>
      </c>
      <c r="O777" s="21" t="str">
        <f>HYPERLINK("obsidian://open?vault=o2&amp;file=%F0%9F%97%BA%EF%B8%8F%20Project%20Management%20MOC.md","🗺️ Project Management MOC")</f>
        <v>🗺️ Project Management MOC</v>
      </c>
      <c r="P777" s="11" t="s">
        <v>175</v>
      </c>
      <c r="Q777" s="21" t="str">
        <f>HYPERLINK("obsidian://open?vault=o2&amp;file=%F0%9F%97%BA%EF%B8%8F%20Personal%20Knowledge%20Management%20MOC.md","🗺️ Personal Knowledge Management MOC")</f>
        <v>🗺️ Personal Knowledge Management MOC</v>
      </c>
      <c r="R777" s="11" t="s">
        <v>175</v>
      </c>
      <c r="AR777" s="11">
        <f>SUBTOTAL(3,_xlfn.SINGLE(tbl_pros[RowId]))</f>
        <v>1</v>
      </c>
    </row>
    <row r="778" spans="10:44">
      <c r="J778" s="4">
        <v>768</v>
      </c>
      <c r="K778" s="20" t="s">
        <v>50</v>
      </c>
      <c r="L778" s="2" t="s">
        <v>1616</v>
      </c>
      <c r="M778" s="4">
        <v>3</v>
      </c>
      <c r="N778" s="4" t="s">
        <v>1617</v>
      </c>
      <c r="O778" s="21" t="str">
        <f>HYPERLINK("obsidian://open?vault=o2&amp;file=%F0%9F%97%BA%EF%B8%8F%20Recipes%20MOC.md","🗺️ Recipes MOC")</f>
        <v>🗺️ Recipes MOC</v>
      </c>
      <c r="P778" s="11" t="s">
        <v>175</v>
      </c>
      <c r="Q778"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R778" s="11" t="s">
        <v>175</v>
      </c>
      <c r="S778" s="21" t="str">
        <f>HYPERLINK("obsidian://open?vault=o2&amp;file=The%20Perfect%20Diane%20Sauce%20-%20Chicken%20Diane%20%20Chef%20Jean-Pierre.md","The Perfect Diane Sauce - Chicken Diane  Chef Jean-Pierre")</f>
        <v>The Perfect Diane Sauce - Chicken Diane  Chef Jean-Pierre</v>
      </c>
      <c r="T778" s="11" t="s">
        <v>175</v>
      </c>
      <c r="AR778" s="11">
        <f>SUBTOTAL(3,_xlfn.SINGLE(tbl_pros[RowId]))</f>
        <v>1</v>
      </c>
    </row>
    <row r="779" spans="10:44">
      <c r="J779" s="4">
        <v>769</v>
      </c>
      <c r="K779" s="20" t="s">
        <v>50</v>
      </c>
      <c r="L779" s="2" t="s">
        <v>270</v>
      </c>
      <c r="M779" s="4">
        <v>1</v>
      </c>
      <c r="N779" s="4" t="s">
        <v>1618</v>
      </c>
      <c r="O779" s="21" t="str">
        <f>HYPERLINK("obsidian://open?vault=o2&amp;file=Planet%20Fitness%20Membership.md","Planet Fitness Membership")</f>
        <v>Planet Fitness Membership</v>
      </c>
      <c r="P779" s="11" t="s">
        <v>175</v>
      </c>
      <c r="AR779" s="11">
        <f>SUBTOTAL(3,_xlfn.SINGLE(tbl_pros[RowId]))</f>
        <v>1</v>
      </c>
    </row>
    <row r="780" spans="10:44">
      <c r="J780" s="4">
        <v>770</v>
      </c>
      <c r="K780" s="20" t="s">
        <v>50</v>
      </c>
      <c r="L780" s="2" t="s">
        <v>1619</v>
      </c>
      <c r="M780" s="4">
        <v>1</v>
      </c>
      <c r="N780" s="4" t="s">
        <v>1620</v>
      </c>
      <c r="O780" s="21" t="str">
        <f>HYPERLINK("obsidian://open?vault=o2&amp;file=Free%20DNS%20Servers.md","Free DNS Servers")</f>
        <v>Free DNS Servers</v>
      </c>
      <c r="P780" s="11" t="s">
        <v>175</v>
      </c>
      <c r="AR780" s="11">
        <f>SUBTOTAL(3,_xlfn.SINGLE(tbl_pros[RowId]))</f>
        <v>1</v>
      </c>
    </row>
    <row r="781" spans="10:44">
      <c r="J781" s="4">
        <v>771</v>
      </c>
      <c r="K781" s="20" t="s">
        <v>50</v>
      </c>
      <c r="L781" s="2" t="s">
        <v>1621</v>
      </c>
      <c r="M781" s="4">
        <v>1</v>
      </c>
      <c r="N781" s="4" t="s">
        <v>1622</v>
      </c>
      <c r="O781" s="21" t="str">
        <f>HYPERLINK("obsidian://open?vault=o2&amp;file=Troubleshooting%20NGINX.md","Troubleshooting NGINX")</f>
        <v>Troubleshooting NGINX</v>
      </c>
      <c r="P781" s="11" t="s">
        <v>175</v>
      </c>
      <c r="AR781" s="11">
        <f>SUBTOTAL(3,_xlfn.SINGLE(tbl_pros[RowId]))</f>
        <v>1</v>
      </c>
    </row>
    <row r="782" spans="10:44">
      <c r="J782" s="4">
        <v>772</v>
      </c>
      <c r="K782" s="20" t="s">
        <v>50</v>
      </c>
      <c r="L782" s="2" t="s">
        <v>1623</v>
      </c>
      <c r="M782" s="4">
        <v>1</v>
      </c>
      <c r="N782" s="4" t="s">
        <v>1624</v>
      </c>
      <c r="O782" s="21" t="str">
        <f>HYPERLINK("obsidian://open?vault=o2&amp;file=Cheats%20Lib%20README.md","Cheats Lib README")</f>
        <v>Cheats Lib README</v>
      </c>
      <c r="P782" s="11" t="s">
        <v>175</v>
      </c>
      <c r="AR782" s="11">
        <f>SUBTOTAL(3,_xlfn.SINGLE(tbl_pros[RowId]))</f>
        <v>1</v>
      </c>
    </row>
    <row r="783" spans="10:44">
      <c r="J783" s="4">
        <v>773</v>
      </c>
      <c r="K783" s="20" t="s">
        <v>50</v>
      </c>
      <c r="L783" s="2"/>
      <c r="M783" s="4">
        <v>7</v>
      </c>
      <c r="N783" s="4" t="s">
        <v>1625</v>
      </c>
      <c r="O783" s="21" t="str">
        <f>HYPERLINK("obsidian://open?vault=o2&amp;file=YAML%20Fix%20Tool.md","YAML Fix Tool")</f>
        <v>YAML Fix Tool</v>
      </c>
      <c r="P783" s="11" t="s">
        <v>175</v>
      </c>
      <c r="Q783" s="21" t="str">
        <f>HYPERLINK("obsidian://open?vault=o2&amp;file=Notes%20on%20Python%20Class%20Objects.md","Notes on Python Class Objects")</f>
        <v>Notes on Python Class Objects</v>
      </c>
      <c r="R783" s="11" t="s">
        <v>175</v>
      </c>
      <c r="S783" s="21" t="str">
        <f>HYPERLINK("obsidian://open?vault=o2&amp;file=My%20Sizes.md","My Sizes")</f>
        <v>My Sizes</v>
      </c>
      <c r="T783" s="11" t="s">
        <v>175</v>
      </c>
      <c r="U783" s="21" t="str">
        <f>HYPERLINK("obsidian://open?vault=o2&amp;file=Physical%20Fitness%20Workout%20Plan.md","Physical Fitness Workout Plan")</f>
        <v>Physical Fitness Workout Plan</v>
      </c>
      <c r="V783" s="11" t="s">
        <v>175</v>
      </c>
      <c r="W783" s="21" t="str">
        <f>HYPERLINK("obsidian://open?vault=o2&amp;file=Obsidian%20Vault%20Healthcheck%20v.1.md","Obsidian Vault Healthcheck v.1")</f>
        <v>Obsidian Vault Healthcheck v.1</v>
      </c>
      <c r="X783" s="11" t="s">
        <v>175</v>
      </c>
      <c r="Y783" s="21" t="str">
        <f>HYPERLINK("obsidian://open?vault=o2&amp;file=InboxNote%20Template.md","InboxNote Template")</f>
        <v>InboxNote Template</v>
      </c>
      <c r="Z783" s="11" t="s">
        <v>175</v>
      </c>
      <c r="AA783" s="21" t="str">
        <f>HYPERLINK("obsidian://open?vault=o2&amp;file=Note%20Template.md","Note Template")</f>
        <v>Note Template</v>
      </c>
      <c r="AB783" s="11" t="s">
        <v>175</v>
      </c>
      <c r="AR783" s="11">
        <f>SUBTOTAL(3,_xlfn.SINGLE(tbl_pros[RowId]))</f>
        <v>1</v>
      </c>
    </row>
    <row r="784" spans="10:44">
      <c r="J784" s="4">
        <v>774</v>
      </c>
      <c r="K784" s="20" t="s">
        <v>50</v>
      </c>
      <c r="L784" s="2" t="s">
        <v>1626</v>
      </c>
      <c r="M784" s="4">
        <v>1</v>
      </c>
      <c r="N784" s="4" t="s">
        <v>1627</v>
      </c>
      <c r="O784" s="21" t="str">
        <f>HYPERLINK("obsidian://open?vault=o2&amp;file=%F0%9F%92%A1%20Color%20Study%20for%20OpenPyXl%20and%20v_chk.md","💡 Color Study for OpenPyXl and v_chk")</f>
        <v>💡 Color Study for OpenPyXl and v_chk</v>
      </c>
      <c r="P784" s="11" t="s">
        <v>175</v>
      </c>
      <c r="AR784" s="11">
        <f>SUBTOTAL(3,_xlfn.SINGLE(tbl_pros[RowId]))</f>
        <v>1</v>
      </c>
    </row>
    <row r="785" spans="10:44">
      <c r="J785" s="4">
        <v>775</v>
      </c>
      <c r="K785" s="20" t="s">
        <v>50</v>
      </c>
      <c r="L785" s="2" t="s">
        <v>268</v>
      </c>
      <c r="M785" s="4">
        <v>1</v>
      </c>
      <c r="N785" s="4" t="s">
        <v>1628</v>
      </c>
      <c r="O785" s="21" t="str">
        <f>HYPERLINK("obsidian://open?vault=o2&amp;file=How%20to%20Sell%20A%20House.md","How to Sell A House")</f>
        <v>How to Sell A House</v>
      </c>
      <c r="P785" s="11" t="s">
        <v>175</v>
      </c>
      <c r="AR785" s="11">
        <f>SUBTOTAL(3,_xlfn.SINGLE(tbl_pros[RowId]))</f>
        <v>1</v>
      </c>
    </row>
    <row r="786" spans="10:44">
      <c r="J786" s="4">
        <v>776</v>
      </c>
      <c r="K786" s="20" t="s">
        <v>50</v>
      </c>
      <c r="L786" s="2" t="s">
        <v>1629</v>
      </c>
      <c r="M786" s="4">
        <v>1</v>
      </c>
      <c r="N786" s="4" t="s">
        <v>1630</v>
      </c>
      <c r="O786" s="21" t="str">
        <f>HYPERLINK("obsidian://open?vault=o2&amp;file=How%20to%20Sell%20A%20House.md","How to Sell A House")</f>
        <v>How to Sell A House</v>
      </c>
      <c r="P786" s="11" t="s">
        <v>175</v>
      </c>
      <c r="AR786" s="11">
        <f>SUBTOTAL(3,_xlfn.SINGLE(tbl_pros[RowId]))</f>
        <v>1</v>
      </c>
    </row>
    <row r="787" spans="10:44">
      <c r="J787" s="4">
        <v>777</v>
      </c>
      <c r="K787" s="20" t="s">
        <v>50</v>
      </c>
      <c r="L787" s="2" t="s">
        <v>1631</v>
      </c>
      <c r="M787" s="4">
        <v>1</v>
      </c>
      <c r="N787" s="4" t="s">
        <v>1632</v>
      </c>
      <c r="O787" s="21" t="str">
        <f>HYPERLINK("obsidian://open?vault=o2&amp;file=Log%20Serial%20Numbers.md","Log Serial Numbers")</f>
        <v>Log Serial Numbers</v>
      </c>
      <c r="P787" s="11" t="s">
        <v>175</v>
      </c>
      <c r="AR787" s="11">
        <f>SUBTOTAL(3,_xlfn.SINGLE(tbl_pros[RowId]))</f>
        <v>1</v>
      </c>
    </row>
    <row r="788" spans="10:44">
      <c r="J788" s="4">
        <v>778</v>
      </c>
      <c r="K788" s="20" t="s">
        <v>50</v>
      </c>
      <c r="L788" s="2" t="s">
        <v>1633</v>
      </c>
      <c r="M788" s="4">
        <v>2</v>
      </c>
      <c r="N788" s="4" t="s">
        <v>1634</v>
      </c>
      <c r="O788" s="21" t="str">
        <f>HYPERLINK("obsidian://open?vault=o2&amp;file=Rebuild%20PC.md","Rebuild PC")</f>
        <v>Rebuild PC</v>
      </c>
      <c r="P788" s="11" t="s">
        <v>175</v>
      </c>
      <c r="Q788" s="21" t="str">
        <f>HYPERLINK("obsidian://open?vault=o2&amp;file=How%20to%20Re-Install%20a%20Vault.md","How to Re-Install a Vault")</f>
        <v>How to Re-Install a Vault</v>
      </c>
      <c r="R788" s="11" t="s">
        <v>175</v>
      </c>
      <c r="AR788" s="11">
        <f>SUBTOTAL(3,_xlfn.SINGLE(tbl_pros[RowId]))</f>
        <v>1</v>
      </c>
    </row>
    <row r="789" spans="10:44">
      <c r="J789" s="4">
        <v>779</v>
      </c>
      <c r="K789" s="20" t="s">
        <v>50</v>
      </c>
      <c r="L789" s="2" t="s">
        <v>1635</v>
      </c>
      <c r="M789" s="4">
        <v>1</v>
      </c>
      <c r="N789" s="4" t="s">
        <v>1636</v>
      </c>
      <c r="O789" s="21" t="str">
        <f>HYPERLINK("obsidian://open?vault=o2&amp;file=Image%20Categorization%20Project%20Definition.md","Image Categorization Project Definition")</f>
        <v>Image Categorization Project Definition</v>
      </c>
      <c r="P789" s="11" t="s">
        <v>175</v>
      </c>
      <c r="AR789" s="11">
        <f>SUBTOTAL(3,_xlfn.SINGLE(tbl_pros[RowId]))</f>
        <v>1</v>
      </c>
    </row>
    <row r="790" spans="10:44">
      <c r="J790" s="4">
        <v>780</v>
      </c>
      <c r="K790" s="20" t="s">
        <v>50</v>
      </c>
      <c r="L790" s="2" t="s">
        <v>1637</v>
      </c>
      <c r="M790" s="4">
        <v>1</v>
      </c>
      <c r="N790" s="4" t="s">
        <v>1638</v>
      </c>
      <c r="O790" s="21" t="str">
        <f>HYPERLINK("obsidian://open?vault=o2&amp;file=%E2%9A%A1%20Image%20Categorization%20Project.md","⚡ Image Categorization Project")</f>
        <v>⚡ Image Categorization Project</v>
      </c>
      <c r="P790" s="11" t="s">
        <v>175</v>
      </c>
      <c r="AR790" s="11">
        <f>SUBTOTAL(3,_xlfn.SINGLE(tbl_pros[RowId]))</f>
        <v>1</v>
      </c>
    </row>
    <row r="791" spans="10:44">
      <c r="J791" s="4">
        <v>781</v>
      </c>
      <c r="K791" s="20" t="s">
        <v>50</v>
      </c>
      <c r="L791" s="2" t="s">
        <v>1639</v>
      </c>
      <c r="M791" s="4">
        <v>1</v>
      </c>
      <c r="N791" s="4" t="s">
        <v>1640</v>
      </c>
      <c r="O791" s="21" t="str">
        <f>HYPERLINK("obsidian://open?vault=o2&amp;file=How%20I%20export%20dataviews.md","How I export dataviews")</f>
        <v>How I export dataviews</v>
      </c>
      <c r="P791" s="11" t="s">
        <v>175</v>
      </c>
      <c r="AR791" s="11">
        <f>SUBTOTAL(3,_xlfn.SINGLE(tbl_pros[RowId]))</f>
        <v>1</v>
      </c>
    </row>
    <row r="792" spans="10:44">
      <c r="J792" s="4">
        <v>782</v>
      </c>
      <c r="K792" s="20" t="s">
        <v>50</v>
      </c>
      <c r="L792" s="2" t="s">
        <v>1641</v>
      </c>
      <c r="M792" s="4">
        <v>1</v>
      </c>
      <c r="N792" s="4" t="s">
        <v>1642</v>
      </c>
      <c r="O792" s="21" t="str">
        <f>HYPERLINK("obsidian://open?vault=o2&amp;file=MD%20Web%20Clipper%20User%20Guide.md","MD Web Clipper User Guide")</f>
        <v>MD Web Clipper User Guide</v>
      </c>
      <c r="P792" s="11" t="s">
        <v>175</v>
      </c>
      <c r="AR792" s="11">
        <f>SUBTOTAL(3,_xlfn.SINGLE(tbl_pros[RowId]))</f>
        <v>1</v>
      </c>
    </row>
    <row r="793" spans="10:44">
      <c r="J793" s="4">
        <v>783</v>
      </c>
      <c r="K793" s="20" t="s">
        <v>50</v>
      </c>
      <c r="L793" s="2" t="s">
        <v>1643</v>
      </c>
      <c r="M793" s="4">
        <v>1</v>
      </c>
      <c r="N793" s="4" t="s">
        <v>1644</v>
      </c>
      <c r="O793" s="21" t="str">
        <f>HYPERLINK("obsidian://open?vault=o2&amp;file=My%20Leader%20Keys.md","My Leader Keys")</f>
        <v>My Leader Keys</v>
      </c>
      <c r="P793" s="11" t="s">
        <v>175</v>
      </c>
      <c r="AR793" s="11">
        <f>SUBTOTAL(3,_xlfn.SINGLE(tbl_pros[RowId]))</f>
        <v>1</v>
      </c>
    </row>
    <row r="794" spans="10:44">
      <c r="J794" s="4">
        <v>784</v>
      </c>
      <c r="K794" s="20" t="s">
        <v>50</v>
      </c>
      <c r="L794" s="2" t="s">
        <v>1645</v>
      </c>
      <c r="M794" s="4">
        <v>1</v>
      </c>
      <c r="N794" s="4" t="s">
        <v>1646</v>
      </c>
      <c r="O794" s="21" t="str">
        <f>HYPERLINK("obsidian://open?vault=o2&amp;file=Setup%20Deluge.md","Setup Deluge")</f>
        <v>Setup Deluge</v>
      </c>
      <c r="P794" s="11" t="s">
        <v>175</v>
      </c>
      <c r="AR794" s="11">
        <f>SUBTOTAL(3,_xlfn.SINGLE(tbl_pros[RowId]))</f>
        <v>1</v>
      </c>
    </row>
    <row r="795" spans="10:44">
      <c r="J795" s="4">
        <v>785</v>
      </c>
      <c r="K795" s="20" t="s">
        <v>50</v>
      </c>
      <c r="L795" s="2" t="s">
        <v>1647</v>
      </c>
      <c r="M795" s="4">
        <v>1</v>
      </c>
      <c r="N795" s="4" t="s">
        <v>1648</v>
      </c>
      <c r="O795" s="21" t="str">
        <f>HYPERLINK("obsidian://open?vault=o2&amp;file=Useful%20Networking%20Commands.md","Useful Networking Commands")</f>
        <v>Useful Networking Commands</v>
      </c>
      <c r="P795" s="11" t="s">
        <v>175</v>
      </c>
      <c r="AR795" s="11">
        <f>SUBTOTAL(3,_xlfn.SINGLE(tbl_pros[RowId]))</f>
        <v>1</v>
      </c>
    </row>
    <row r="796" spans="10:44">
      <c r="J796" s="4">
        <v>786</v>
      </c>
      <c r="K796" s="20" t="s">
        <v>50</v>
      </c>
      <c r="L796" s="2" t="s">
        <v>1649</v>
      </c>
      <c r="M796" s="4">
        <v>1</v>
      </c>
      <c r="N796" s="4" t="s">
        <v>1650</v>
      </c>
      <c r="O796" s="21" t="str">
        <f>HYPERLINK("obsidian://open?vault=o2&amp;file=Useful%20Networking%20Commands.md","Useful Networking Commands")</f>
        <v>Useful Networking Commands</v>
      </c>
      <c r="P796" s="11" t="s">
        <v>175</v>
      </c>
      <c r="AR796" s="11">
        <f>SUBTOTAL(3,_xlfn.SINGLE(tbl_pros[RowId]))</f>
        <v>1</v>
      </c>
    </row>
    <row r="797" spans="10:44">
      <c r="J797" s="4">
        <v>787</v>
      </c>
      <c r="K797" s="20" t="s">
        <v>50</v>
      </c>
      <c r="L797" s="2" t="s">
        <v>1651</v>
      </c>
      <c r="M797" s="4">
        <v>1</v>
      </c>
      <c r="N797" s="4" t="s">
        <v>1652</v>
      </c>
      <c r="O797" s="21" t="str">
        <f>HYPERLINK("obsidian://open?vault=o2&amp;file=Setup%20Streamdeck%20Plus.md","Setup Streamdeck Plus")</f>
        <v>Setup Streamdeck Plus</v>
      </c>
      <c r="P797" s="11" t="s">
        <v>175</v>
      </c>
      <c r="AR797" s="11">
        <f>SUBTOTAL(3,_xlfn.SINGLE(tbl_pros[RowId]))</f>
        <v>1</v>
      </c>
    </row>
    <row r="798" spans="10:44">
      <c r="J798" s="4">
        <v>788</v>
      </c>
      <c r="K798" s="20" t="s">
        <v>50</v>
      </c>
      <c r="L798" s="2" t="s">
        <v>1653</v>
      </c>
      <c r="M798" s="4">
        <v>2</v>
      </c>
      <c r="N798" s="4" t="s">
        <v>1654</v>
      </c>
      <c r="O798" s="21" t="str">
        <f>HYPERLINK("obsidian://open?vault=o2&amp;file=Install%20Hypersnap%209.md","Install Hypersnap 9")</f>
        <v>Install Hypersnap 9</v>
      </c>
      <c r="P798" s="11" t="s">
        <v>175</v>
      </c>
      <c r="Q798" s="21" t="str">
        <f>HYPERLINK("obsidian://open?vault=o2&amp;file=Windows%2011%20Network%20Drive%20Mapping%20Setup.md","Windows 11 Network Drive Mapping Setup")</f>
        <v>Windows 11 Network Drive Mapping Setup</v>
      </c>
      <c r="R798" s="11" t="s">
        <v>175</v>
      </c>
      <c r="AR798" s="11">
        <f>SUBTOTAL(3,_xlfn.SINGLE(tbl_pros[RowId]))</f>
        <v>1</v>
      </c>
    </row>
    <row r="799" spans="10:44">
      <c r="J799" s="4">
        <v>789</v>
      </c>
      <c r="K799" s="20" t="s">
        <v>50</v>
      </c>
      <c r="L799" s="2" t="s">
        <v>1655</v>
      </c>
      <c r="M799" s="4">
        <v>1</v>
      </c>
      <c r="N799" s="4" t="s">
        <v>1656</v>
      </c>
      <c r="O799" s="21" t="str">
        <f>HYPERLINK("obsidian://open?vault=o2&amp;file=Win11%20Jump%20List%20Tweak.md","Win11 Jump List Tweak")</f>
        <v>Win11 Jump List Tweak</v>
      </c>
      <c r="P799" s="11" t="s">
        <v>175</v>
      </c>
      <c r="AR799" s="11">
        <f>SUBTOTAL(3,_xlfn.SINGLE(tbl_pros[RowId]))</f>
        <v>1</v>
      </c>
    </row>
    <row r="800" spans="10:44">
      <c r="J800" s="4">
        <v>790</v>
      </c>
      <c r="K800" s="20" t="s">
        <v>50</v>
      </c>
      <c r="L800" s="2" t="s">
        <v>1657</v>
      </c>
      <c r="M800" s="4">
        <v>4</v>
      </c>
      <c r="N800" s="4" t="s">
        <v>1658</v>
      </c>
      <c r="O800" s="21" t="str">
        <f>HYPERLINK("obsidian://open?vault=o2&amp;file=12%20Step%20Poetry.md","12 Step Poetry")</f>
        <v>12 Step Poetry</v>
      </c>
      <c r="P800" s="11" t="s">
        <v>175</v>
      </c>
      <c r="Q800" s="21" t="str">
        <f>HYPERLINK("obsidian://open?vault=o2&amp;file=Twelve%20Steps%20Work%20-%20Step%201.md","Twelve Steps Work - Step 1")</f>
        <v>Twelve Steps Work - Step 1</v>
      </c>
      <c r="R800" s="11" t="s">
        <v>175</v>
      </c>
      <c r="S800" s="21" t="str">
        <f>HYPERLINK("obsidian://open?vault=o2&amp;file=Twelve%20Steps%20Work%20-%20Step%202.md","Twelve Steps Work - Step 2")</f>
        <v>Twelve Steps Work - Step 2</v>
      </c>
      <c r="T800" s="11" t="s">
        <v>175</v>
      </c>
      <c r="U800" s="21" t="str">
        <f>HYPERLINK("obsidian://open?vault=o2&amp;file=Twelve%20Traditions%20of%20AA.md","Twelve Traditions of AA")</f>
        <v>Twelve Traditions of AA</v>
      </c>
      <c r="V800" s="11" t="s">
        <v>175</v>
      </c>
      <c r="AR800" s="11">
        <f>SUBTOTAL(3,_xlfn.SINGLE(tbl_pros[RowId]))</f>
        <v>1</v>
      </c>
    </row>
    <row r="801" spans="10:44">
      <c r="J801" s="4">
        <v>791</v>
      </c>
      <c r="K801" s="20" t="s">
        <v>50</v>
      </c>
      <c r="L801" s="2" t="s">
        <v>1659</v>
      </c>
      <c r="M801" s="4">
        <v>12</v>
      </c>
      <c r="N801" s="4" t="s">
        <v>1660</v>
      </c>
      <c r="O801" s="21" t="str">
        <f>HYPERLINK("obsidian://open?vault=o2&amp;file=12%20Step%20Poetry.md","12 Step Poetry")</f>
        <v>12 Step Poetry</v>
      </c>
      <c r="P801" s="11" t="s">
        <v>175</v>
      </c>
      <c r="Q801" s="21" t="str">
        <f>HYPERLINK("obsidian://open?vault=o2&amp;file=60%20Affirmations.md","60 Affirmations")</f>
        <v>60 Affirmations</v>
      </c>
      <c r="R801" s="11" t="s">
        <v>175</v>
      </c>
      <c r="S801" s="21" t="str">
        <f>HYPERLINK("obsidian://open?vault=o2&amp;file=Additional%20Prayers%20and%20Meditations.md","Additional Prayers and Meditations")</f>
        <v>Additional Prayers and Meditations</v>
      </c>
      <c r="T801" s="11" t="s">
        <v>175</v>
      </c>
      <c r="U801" s="21" t="str">
        <f>HYPERLINK("obsidian://open?vault=o2&amp;file=Daily%20Prayers.md","Daily Prayers")</f>
        <v>Daily Prayers</v>
      </c>
      <c r="V801" s="11" t="s">
        <v>175</v>
      </c>
      <c r="W801" s="21" t="str">
        <f>HYPERLINK("obsidian://open?vault=o2&amp;file=Draft%20Notes%20for%20Poetry.md","Draft Notes for Poetry")</f>
        <v>Draft Notes for Poetry</v>
      </c>
      <c r="X801" s="11" t="s">
        <v>175</v>
      </c>
      <c r="Y801" s="21" t="str">
        <f>HYPERLINK("obsidian://open?vault=o2&amp;file=Loved%20ones%20I%20pray%20for.md","Loved ones I pray for")</f>
        <v>Loved ones I pray for</v>
      </c>
      <c r="Z801" s="11" t="s">
        <v>175</v>
      </c>
      <c r="AA801" s="21" t="str">
        <f>HYPERLINK("obsidian://open?vault=o2&amp;file=Twelve%20Principles%20of%20AA.md","Twelve Principles of AA")</f>
        <v>Twelve Principles of AA</v>
      </c>
      <c r="AB801" s="11" t="s">
        <v>175</v>
      </c>
      <c r="AC801" s="21" t="str">
        <f>HYPERLINK("obsidian://open?vault=o2&amp;file=Twelve%20Steps%20of%20AA.md","Twelve Steps of AA")</f>
        <v>Twelve Steps of AA</v>
      </c>
      <c r="AD801" s="11" t="s">
        <v>175</v>
      </c>
      <c r="AE801" s="21" t="str">
        <f>HYPERLINK("obsidian://open?vault=o2&amp;file=Twelve%20Steps%20Work%20-%20Step%201.md","Twelve Steps Work - Step 1")</f>
        <v>Twelve Steps Work - Step 1</v>
      </c>
      <c r="AF801" s="11" t="s">
        <v>175</v>
      </c>
      <c r="AG801" s="21" t="str">
        <f>HYPERLINK("obsidian://open?vault=o2&amp;file=Twelve%20Steps%20Work%20-%20Step%202.md","Twelve Steps Work - Step 2")</f>
        <v>Twelve Steps Work - Step 2</v>
      </c>
      <c r="AH801" s="11" t="s">
        <v>175</v>
      </c>
      <c r="AI801" s="21" t="str">
        <f>HYPERLINK("obsidian://open?vault=o2&amp;file=Twelve%20Traditions%20of%20AA.md","Twelve Traditions of AA")</f>
        <v>Twelve Traditions of AA</v>
      </c>
      <c r="AJ801" s="11" t="s">
        <v>175</v>
      </c>
      <c r="AK801" s="21" t="str">
        <f>HYPERLINK("obsidian://open?vault=o2&amp;file=%E2%9A%93%20AA%20Recovery.md","⚓ AA Recovery")</f>
        <v>⚓ AA Recovery</v>
      </c>
      <c r="AL801" s="11" t="s">
        <v>175</v>
      </c>
      <c r="AR801" s="11">
        <f>SUBTOTAL(3,_xlfn.SINGLE(tbl_pros[RowId]))</f>
        <v>1</v>
      </c>
    </row>
    <row r="802" spans="10:44">
      <c r="J802" s="4">
        <v>792</v>
      </c>
      <c r="K802" s="20" t="s">
        <v>50</v>
      </c>
      <c r="L802" s="2" t="s">
        <v>260</v>
      </c>
      <c r="M802" s="4">
        <v>11</v>
      </c>
      <c r="N802" s="4" t="s">
        <v>1661</v>
      </c>
      <c r="O802" s="21" t="str">
        <f>HYPERLINK("obsidian://open?vault=o2&amp;file=12%20Step%20Poetry.md","12 Step Poetry")</f>
        <v>12 Step Poetry</v>
      </c>
      <c r="P802" s="11" t="s">
        <v>175</v>
      </c>
      <c r="Q802" s="21" t="str">
        <f>HYPERLINK("obsidian://open?vault=o2&amp;file=60%20Affirmations.md","60 Affirmations")</f>
        <v>60 Affirmations</v>
      </c>
      <c r="R802" s="11" t="s">
        <v>175</v>
      </c>
      <c r="S802" s="21" t="str">
        <f>HYPERLINK("obsidian://open?vault=o2&amp;file=Additional%20Prayers%20and%20Meditations.md","Additional Prayers and Meditations")</f>
        <v>Additional Prayers and Meditations</v>
      </c>
      <c r="T802" s="11" t="s">
        <v>175</v>
      </c>
      <c r="U802" s="21" t="str">
        <f>HYPERLINK("obsidian://open?vault=o2&amp;file=Daily%20Prayers.md","Daily Prayers")</f>
        <v>Daily Prayers</v>
      </c>
      <c r="V802" s="11" t="s">
        <v>175</v>
      </c>
      <c r="W802" s="21" t="str">
        <f>HYPERLINK("obsidian://open?vault=o2&amp;file=Draft%20Notes%20for%20Poetry.md","Draft Notes for Poetry")</f>
        <v>Draft Notes for Poetry</v>
      </c>
      <c r="X802" s="11" t="s">
        <v>175</v>
      </c>
      <c r="Y802" s="21" t="str">
        <f>HYPERLINK("obsidian://open?vault=o2&amp;file=Loved%20ones%20I%20pray%20for.md","Loved ones I pray for")</f>
        <v>Loved ones I pray for</v>
      </c>
      <c r="Z802" s="11" t="s">
        <v>175</v>
      </c>
      <c r="AA802" s="21" t="str">
        <f>HYPERLINK("obsidian://open?vault=o2&amp;file=Twelve%20Principles%20of%20AA.md","Twelve Principles of AA")</f>
        <v>Twelve Principles of AA</v>
      </c>
      <c r="AB802" s="11" t="s">
        <v>175</v>
      </c>
      <c r="AC802" s="21" t="str">
        <f>HYPERLINK("obsidian://open?vault=o2&amp;file=Twelve%20Steps%20of%20AA.md","Twelve Steps of AA")</f>
        <v>Twelve Steps of AA</v>
      </c>
      <c r="AD802" s="11" t="s">
        <v>175</v>
      </c>
      <c r="AE802" s="21" t="str">
        <f>HYPERLINK("obsidian://open?vault=o2&amp;file=Twelve%20Steps%20Work%20-%20Step%201.md","Twelve Steps Work - Step 1")</f>
        <v>Twelve Steps Work - Step 1</v>
      </c>
      <c r="AF802" s="11" t="s">
        <v>175</v>
      </c>
      <c r="AG802" s="21" t="str">
        <f>HYPERLINK("obsidian://open?vault=o2&amp;file=Twelve%20Steps%20Work%20-%20Step%202.md","Twelve Steps Work - Step 2")</f>
        <v>Twelve Steps Work - Step 2</v>
      </c>
      <c r="AH802" s="11" t="s">
        <v>175</v>
      </c>
      <c r="AI802" s="21" t="str">
        <f>HYPERLINK("obsidian://open?vault=o2&amp;file=Twelve%20Traditions%20of%20AA.md","Twelve Traditions of AA")</f>
        <v>Twelve Traditions of AA</v>
      </c>
      <c r="AJ802" s="11" t="s">
        <v>175</v>
      </c>
      <c r="AR802" s="11">
        <f>SUBTOTAL(3,_xlfn.SINGLE(tbl_pros[RowId]))</f>
        <v>1</v>
      </c>
    </row>
    <row r="803" spans="10:44">
      <c r="J803" s="4">
        <v>793</v>
      </c>
      <c r="K803" s="20" t="s">
        <v>50</v>
      </c>
      <c r="L803" s="2" t="s">
        <v>1662</v>
      </c>
      <c r="M803" s="4">
        <v>1</v>
      </c>
      <c r="N803" s="4" t="s">
        <v>1663</v>
      </c>
      <c r="O803" s="21" t="str">
        <f>HYPERLINK("obsidian://open?vault=o2&amp;file=Loved%20ones%20I%20pray%20for.md","Loved ones I pray for")</f>
        <v>Loved ones I pray for</v>
      </c>
      <c r="P803" s="11" t="s">
        <v>175</v>
      </c>
      <c r="AR803" s="11">
        <f>SUBTOTAL(3,_xlfn.SINGLE(tbl_pros[RowId]))</f>
        <v>1</v>
      </c>
    </row>
    <row r="804" spans="10:44">
      <c r="J804" s="4">
        <v>794</v>
      </c>
      <c r="K804" s="20" t="s">
        <v>50</v>
      </c>
      <c r="L804" s="2" t="s">
        <v>1664</v>
      </c>
      <c r="M804" s="4">
        <v>3</v>
      </c>
      <c r="N804" s="4" t="s">
        <v>1665</v>
      </c>
      <c r="O804" s="21" t="str">
        <f>HYPERLINK("obsidian://open?vault=o2&amp;file=Quick%20Jokes%20for%20Sharing.md","Quick Jokes for Sharing")</f>
        <v>Quick Jokes for Sharing</v>
      </c>
      <c r="P804" s="11" t="s">
        <v>175</v>
      </c>
      <c r="Q804" s="21" t="str">
        <f>HYPERLINK("obsidian://open?vault=o2&amp;file=The%20Best%20Dark%20Humor%20Jokes.md","The Best Dark Humor Jokes")</f>
        <v>The Best Dark Humor Jokes</v>
      </c>
      <c r="R804" s="11" t="s">
        <v>175</v>
      </c>
      <c r="S804" s="21" t="str">
        <f>HYPERLINK("obsidian://open?vault=o2&amp;file=The%20Best%20Dirty%20Jokes-Pick-up%20Lines%20and%20Knock-Knocks.md","The Best Dirty Jokes-Pick-up Lines and Knock-Knocks")</f>
        <v>The Best Dirty Jokes-Pick-up Lines and Knock-Knocks</v>
      </c>
      <c r="T804" s="11" t="s">
        <v>175</v>
      </c>
      <c r="AR804" s="11">
        <f>SUBTOTAL(3,_xlfn.SINGLE(tbl_pros[RowId]))</f>
        <v>1</v>
      </c>
    </row>
    <row r="805" spans="10:44">
      <c r="J805" s="4">
        <v>795</v>
      </c>
      <c r="K805" s="20" t="s">
        <v>50</v>
      </c>
      <c r="L805" s="2" t="s">
        <v>1666</v>
      </c>
      <c r="M805" s="4">
        <v>1</v>
      </c>
      <c r="N805" s="4" t="s">
        <v>1667</v>
      </c>
      <c r="O805" s="21" t="str">
        <f>HYPERLINK("obsidian://open?vault=o2&amp;file=%E2%9A%93%20AA%20Recovery.md","⚓ AA Recovery")</f>
        <v>⚓ AA Recovery</v>
      </c>
      <c r="P805" s="11" t="s">
        <v>175</v>
      </c>
      <c r="AR805" s="11">
        <f>SUBTOTAL(3,_xlfn.SINGLE(tbl_pros[RowId]))</f>
        <v>1</v>
      </c>
    </row>
    <row r="806" spans="10:44">
      <c r="J806" s="4">
        <v>796</v>
      </c>
      <c r="K806" s="20" t="s">
        <v>50</v>
      </c>
      <c r="L806" s="2" t="s">
        <v>1668</v>
      </c>
      <c r="M806" s="4">
        <v>1</v>
      </c>
      <c r="N806" s="4" t="s">
        <v>1669</v>
      </c>
      <c r="O806" s="21" t="str">
        <f>HYPERLINK("obsidian://open?vault=o2&amp;file=My%20Medical%20Info.md","My Medical Info")</f>
        <v>My Medical Info</v>
      </c>
      <c r="P806" s="11" t="s">
        <v>175</v>
      </c>
      <c r="AR806" s="11">
        <f>SUBTOTAL(3,_xlfn.SINGLE(tbl_pros[RowId]))</f>
        <v>1</v>
      </c>
    </row>
    <row r="807" spans="10:44">
      <c r="J807" s="4">
        <v>797</v>
      </c>
      <c r="K807" s="20" t="s">
        <v>50</v>
      </c>
      <c r="L807" s="2" t="s">
        <v>1670</v>
      </c>
      <c r="M807" s="4">
        <v>1</v>
      </c>
      <c r="N807" s="4" t="s">
        <v>1671</v>
      </c>
      <c r="O807" s="21" t="str">
        <f>HYPERLINK("obsidian://open?vault=o2&amp;file=Colbert%20Diff%20between%20Classified%20Documents%20Biden%20vs.%20Trump.md","Colbert Diff between Classified Documents Biden vs. Trump")</f>
        <v>Colbert Diff between Classified Documents Biden vs. Trump</v>
      </c>
      <c r="P807" s="11" t="s">
        <v>175</v>
      </c>
      <c r="AR807" s="11">
        <f>SUBTOTAL(3,_xlfn.SINGLE(tbl_pros[RowId]))</f>
        <v>1</v>
      </c>
    </row>
    <row r="808" spans="10:44">
      <c r="J808" s="4">
        <v>798</v>
      </c>
      <c r="K808" s="20" t="s">
        <v>50</v>
      </c>
      <c r="L808" s="2" t="s">
        <v>1672</v>
      </c>
      <c r="M808" s="4">
        <v>1</v>
      </c>
      <c r="N808" s="4" t="s">
        <v>1673</v>
      </c>
      <c r="O808" s="21" t="str">
        <f>HYPERLINK("obsidian://open?vault=o2&amp;file=Colbert%20Diff%20between%20Classified%20Documents%20Biden%20vs.%20Trump.md","Colbert Diff between Classified Documents Biden vs. Trump")</f>
        <v>Colbert Diff between Classified Documents Biden vs. Trump</v>
      </c>
      <c r="P808" s="11" t="s">
        <v>175</v>
      </c>
      <c r="AR808" s="11">
        <f>SUBTOTAL(3,_xlfn.SINGLE(tbl_pros[RowId]))</f>
        <v>1</v>
      </c>
    </row>
    <row r="809" spans="10:44">
      <c r="J809" s="4">
        <v>799</v>
      </c>
      <c r="K809" s="20" t="s">
        <v>50</v>
      </c>
      <c r="L809" s="2" t="s">
        <v>1674</v>
      </c>
      <c r="M809" s="4">
        <v>1</v>
      </c>
      <c r="N809" s="4" t="s">
        <v>1675</v>
      </c>
      <c r="O809" s="21" t="str">
        <f>HYPERLINK("obsidian://open?vault=o2&amp;file=13%20Crucial%20Questions%20to%20Ask%20a%20Realtor%20When%20Selling.md","13 Crucial Questions to Ask a Realtor When Selling")</f>
        <v>13 Crucial Questions to Ask a Realtor When Selling</v>
      </c>
      <c r="P809" s="11" t="s">
        <v>175</v>
      </c>
      <c r="AR809" s="11">
        <f>SUBTOTAL(3,_xlfn.SINGLE(tbl_pros[RowId]))</f>
        <v>1</v>
      </c>
    </row>
    <row r="810" spans="10:44">
      <c r="J810" s="4">
        <v>800</v>
      </c>
      <c r="K810" s="20" t="s">
        <v>50</v>
      </c>
      <c r="L810" s="2" t="s">
        <v>1676</v>
      </c>
      <c r="M810" s="4">
        <v>1</v>
      </c>
      <c r="N810" s="4" t="s">
        <v>1677</v>
      </c>
      <c r="O810" s="21" t="str">
        <f>HYPERLINK("obsidian://open?vault=o2&amp;file=22%20FREE%20Windows%20Utilities%20EVERY%20User%20MUST%20Know%20About%21.md","22 FREE Windows Utilities EVERY User MUST Know About!")</f>
        <v>22 FREE Windows Utilities EVERY User MUST Know About!</v>
      </c>
      <c r="P810" s="11" t="s">
        <v>175</v>
      </c>
      <c r="AR810" s="11">
        <f>SUBTOTAL(3,_xlfn.SINGLE(tbl_pros[RowId]))</f>
        <v>1</v>
      </c>
    </row>
    <row r="811" spans="10:44">
      <c r="J811" s="4">
        <v>801</v>
      </c>
      <c r="K811" s="20" t="s">
        <v>50</v>
      </c>
      <c r="L811" s="2" t="s">
        <v>1678</v>
      </c>
      <c r="M811" s="4">
        <v>1</v>
      </c>
      <c r="N811" s="4" t="s">
        <v>1679</v>
      </c>
      <c r="O811" s="21" t="str">
        <f>HYPERLINK("obsidian://open?vault=o2&amp;file=Computer%20Cable%20Types.md","Computer Cable Types")</f>
        <v>Computer Cable Types</v>
      </c>
      <c r="P811" s="11" t="s">
        <v>175</v>
      </c>
      <c r="AR811" s="11">
        <f>SUBTOTAL(3,_xlfn.SINGLE(tbl_pros[RowId]))</f>
        <v>1</v>
      </c>
    </row>
    <row r="812" spans="10:44">
      <c r="J812" s="4">
        <v>802</v>
      </c>
      <c r="K812" s="20" t="s">
        <v>50</v>
      </c>
      <c r="L812" s="2" t="s">
        <v>1680</v>
      </c>
      <c r="M812" s="4">
        <v>1</v>
      </c>
      <c r="N812" s="4" t="s">
        <v>1681</v>
      </c>
      <c r="O812" s="21" t="str">
        <f>HYPERLINK("obsidian://open?vault=o2&amp;file=Do%20Yourself%20a%20Favor%20and%20Go%20Find%20a%20%E2%80%98Third%20Place%E2%80%99.md","Do Yourself a Favor and Go Find a ‘Third Place’")</f>
        <v>Do Yourself a Favor and Go Find a ‘Third Place’</v>
      </c>
      <c r="P812" s="11" t="s">
        <v>175</v>
      </c>
      <c r="AR812" s="11">
        <f>SUBTOTAL(3,_xlfn.SINGLE(tbl_pros[RowId]))</f>
        <v>1</v>
      </c>
    </row>
    <row r="813" spans="10:44">
      <c r="J813" s="4">
        <v>803</v>
      </c>
      <c r="K813" s="20" t="s">
        <v>50</v>
      </c>
      <c r="L813" s="2" t="s">
        <v>1682</v>
      </c>
      <c r="M813" s="4">
        <v>1</v>
      </c>
      <c r="N813" s="4" t="s">
        <v>1683</v>
      </c>
      <c r="O813" s="21" t="str">
        <f>HYPERLINK("obsidian://open?vault=o2&amp;file=How%20to%20Make%20Changes%20to%20Multiple%20Files%20Using%20Python%20%20Envato%20Tuts%2B.md","How to Make Changes to Multiple Files Using Python  Envato Tuts+")</f>
        <v>How to Make Changes to Multiple Files Using Python  Envato Tuts+</v>
      </c>
      <c r="P813" s="11" t="s">
        <v>175</v>
      </c>
      <c r="AR813" s="11">
        <f>SUBTOTAL(3,_xlfn.SINGLE(tbl_pros[RowId]))</f>
        <v>1</v>
      </c>
    </row>
    <row r="814" spans="10:44">
      <c r="J814" s="4">
        <v>804</v>
      </c>
      <c r="K814" s="20" t="s">
        <v>50</v>
      </c>
      <c r="L814" s="2" t="s">
        <v>1684</v>
      </c>
      <c r="M814" s="4">
        <v>1</v>
      </c>
      <c r="N814" s="4" t="s">
        <v>1685</v>
      </c>
      <c r="O814" s="21" t="str">
        <f>HYPERLINK("obsidian://open?vault=o2&amp;file=Kurt%20Vonnegut%E2%80%99s%20Greatest%20Writing%20Advice.md","Kurt Vonnegut’s Greatest Writing Advice")</f>
        <v>Kurt Vonnegut’s Greatest Writing Advice</v>
      </c>
      <c r="P814" s="11" t="s">
        <v>175</v>
      </c>
      <c r="AR814" s="11">
        <f>SUBTOTAL(3,_xlfn.SINGLE(tbl_pros[RowId]))</f>
        <v>1</v>
      </c>
    </row>
    <row r="815" spans="10:44">
      <c r="J815" s="4">
        <v>805</v>
      </c>
      <c r="K815" s="20" t="s">
        <v>50</v>
      </c>
      <c r="L815" s="2" t="s">
        <v>1686</v>
      </c>
      <c r="M815" s="4">
        <v>1</v>
      </c>
      <c r="N815" s="4" t="s">
        <v>1687</v>
      </c>
      <c r="O815" s="21" t="str">
        <f>HYPERLINK("obsidian://open?vault=o2&amp;file=Python%20Style%20Guide.md","Python Style Guide")</f>
        <v>Python Style Guide</v>
      </c>
      <c r="P815" s="11" t="s">
        <v>175</v>
      </c>
      <c r="AR815" s="11">
        <f>SUBTOTAL(3,_xlfn.SINGLE(tbl_pros[RowId]))</f>
        <v>1</v>
      </c>
    </row>
    <row r="816" spans="10:44">
      <c r="J816" s="4">
        <v>806</v>
      </c>
      <c r="K816" s="20" t="s">
        <v>50</v>
      </c>
      <c r="L816" s="2" t="s">
        <v>1688</v>
      </c>
      <c r="M816" s="4">
        <v>1</v>
      </c>
      <c r="N816" s="4" t="s">
        <v>1689</v>
      </c>
      <c r="O816" s="21" t="str">
        <f>HYPERLINK("obsidian://open?vault=o2&amp;file=Relaxation%20Techniques.md","Relaxation Techniques")</f>
        <v>Relaxation Techniques</v>
      </c>
      <c r="P816" s="11" t="s">
        <v>175</v>
      </c>
      <c r="AR816" s="11">
        <f>SUBTOTAL(3,_xlfn.SINGLE(tbl_pros[RowId]))</f>
        <v>1</v>
      </c>
    </row>
    <row r="817" spans="10:44">
      <c r="J817" s="4">
        <v>807</v>
      </c>
      <c r="K817" s="20" t="s">
        <v>50</v>
      </c>
      <c r="L817" s="2" t="s">
        <v>1690</v>
      </c>
      <c r="M817" s="4">
        <v>1</v>
      </c>
      <c r="N817" s="4" t="s">
        <v>1691</v>
      </c>
      <c r="O817" s="21" t="str">
        <f>HYPERLINK("obsidian://open?vault=o2&amp;file=The%20Growing%20Link%20Between%20Microbes%2C%20Mood%20and%20Mental%20Health.md","The Growing Link Between Microbes, Mood and Mental Health")</f>
        <v>The Growing Link Between Microbes, Mood and Mental Health</v>
      </c>
      <c r="P817" s="11" t="s">
        <v>175</v>
      </c>
      <c r="AR817" s="11">
        <f>SUBTOTAL(3,_xlfn.SINGLE(tbl_pros[RowId]))</f>
        <v>1</v>
      </c>
    </row>
    <row r="818" spans="10:44">
      <c r="J818" s="4">
        <v>808</v>
      </c>
      <c r="K818" s="20" t="s">
        <v>50</v>
      </c>
      <c r="L818" s="2" t="s">
        <v>1692</v>
      </c>
      <c r="M818" s="4">
        <v>1</v>
      </c>
      <c r="N818" s="4" t="s">
        <v>1693</v>
      </c>
      <c r="O818" s="21" t="str">
        <f>HYPERLINK("obsidian://open?vault=o2&amp;file=What%20is%20Thread%20and%20how%20will%20it%20help%20your%20smart%20home.md","What is Thread and how will it help your smart home")</f>
        <v>What is Thread and how will it help your smart home</v>
      </c>
      <c r="P818" s="11" t="s">
        <v>175</v>
      </c>
      <c r="AR818" s="11">
        <f>SUBTOTAL(3,_xlfn.SINGLE(tbl_pros[RowId]))</f>
        <v>1</v>
      </c>
    </row>
    <row r="819" spans="10:44">
      <c r="J819" s="4">
        <v>809</v>
      </c>
      <c r="K819" s="20" t="s">
        <v>50</v>
      </c>
      <c r="L819" s="2" t="s">
        <v>1694</v>
      </c>
      <c r="M819" s="4">
        <v>1</v>
      </c>
      <c r="N819" s="4" t="s">
        <v>1695</v>
      </c>
      <c r="O819" s="21" t="str">
        <f>HYPERLINK("obsidian://open?vault=o2&amp;file=The%20Perfect%20Diane%20Sauce%20-%20Chicken%20Diane%20%20Chef%20Jean-Pierre.md","The Perfect Diane Sauce - Chicken Diane  Chef Jean-Pierre")</f>
        <v>The Perfect Diane Sauce - Chicken Diane  Chef Jean-Pierre</v>
      </c>
      <c r="P819" s="11" t="s">
        <v>175</v>
      </c>
      <c r="AR819" s="11">
        <f>SUBTOTAL(3,_xlfn.SINGLE(tbl_pros[RowId]))</f>
        <v>1</v>
      </c>
    </row>
    <row r="820" spans="10:44">
      <c r="J820" s="4">
        <v>810</v>
      </c>
      <c r="K820" s="20" t="s">
        <v>50</v>
      </c>
      <c r="L820" s="2" t="s">
        <v>1696</v>
      </c>
      <c r="M820" s="4">
        <v>1</v>
      </c>
      <c r="N820" s="4" t="s">
        <v>1697</v>
      </c>
      <c r="O820" s="21" t="str">
        <f>HYPERLINK("obsidian://open?vault=o2&amp;file=The%20Ultimate%20Cable%20Management%20Tier%20List.md","The Ultimate Cable Management Tier List")</f>
        <v>The Ultimate Cable Management Tier List</v>
      </c>
      <c r="P820" s="11" t="s">
        <v>175</v>
      </c>
      <c r="AR820" s="11">
        <f>SUBTOTAL(3,_xlfn.SINGLE(tbl_pros[RowId]))</f>
        <v>1</v>
      </c>
    </row>
    <row r="821" spans="10:44">
      <c r="J821" s="4">
        <v>811</v>
      </c>
      <c r="K821" s="20" t="s">
        <v>50</v>
      </c>
      <c r="L821" s="2" t="s">
        <v>1698</v>
      </c>
      <c r="M821" s="4">
        <v>1</v>
      </c>
      <c r="N821" s="4" t="s">
        <v>1699</v>
      </c>
      <c r="O821" s="21" t="str">
        <f>HYPERLINK("obsidian://open?vault=o2&amp;file=50%20Watercolor%20Painting%20Tips.md","50 Watercolor Painting Tips")</f>
        <v>50 Watercolor Painting Tips</v>
      </c>
      <c r="P821" s="11" t="s">
        <v>175</v>
      </c>
      <c r="AR821" s="11">
        <f>SUBTOTAL(3,_xlfn.SINGLE(tbl_pros[RowId]))</f>
        <v>1</v>
      </c>
    </row>
    <row r="822" spans="10:44">
      <c r="J822" s="4">
        <v>812</v>
      </c>
      <c r="K822" s="20" t="s">
        <v>50</v>
      </c>
      <c r="L822" s="2" t="s">
        <v>1700</v>
      </c>
      <c r="M822" s="4">
        <v>1</v>
      </c>
      <c r="N822" s="4" t="s">
        <v>1701</v>
      </c>
      <c r="O822" s="21" t="str">
        <f>HYPERLINK("obsidian://open?vault=o2&amp;file=How%20to%20Create%20So%20Much%20They%20Can%E2%80%99t%20Ignore%20You.md","How to Create So Much They Can’t Ignore You")</f>
        <v>How to Create So Much They Can’t Ignore You</v>
      </c>
      <c r="P822" s="11" t="s">
        <v>175</v>
      </c>
      <c r="AR822" s="11">
        <f>SUBTOTAL(3,_xlfn.SINGLE(tbl_pros[RowId]))</f>
        <v>1</v>
      </c>
    </row>
    <row r="823" spans="10:44">
      <c r="J823" s="4">
        <v>813</v>
      </c>
      <c r="K823" s="20" t="s">
        <v>50</v>
      </c>
      <c r="L823" s="2" t="s">
        <v>1702</v>
      </c>
      <c r="M823" s="4">
        <v>1</v>
      </c>
      <c r="N823" s="4" t="s">
        <v>1703</v>
      </c>
      <c r="O823" s="21" t="str">
        <f>HYPERLINK("obsidian://open?vault=o2&amp;file=Rainmeter.md","Rainmeter")</f>
        <v>Rainmeter</v>
      </c>
      <c r="P823" s="11" t="s">
        <v>175</v>
      </c>
      <c r="AR823" s="11">
        <f>SUBTOTAL(3,_xlfn.SINGLE(tbl_pros[RowId]))</f>
        <v>1</v>
      </c>
    </row>
    <row r="824" spans="10:44">
      <c r="J824" s="4">
        <v>814</v>
      </c>
      <c r="K824" s="20" t="s">
        <v>50</v>
      </c>
      <c r="L824" s="2" t="s">
        <v>1704</v>
      </c>
      <c r="M824" s="4">
        <v>1</v>
      </c>
      <c r="N824" s="4" t="s">
        <v>1705</v>
      </c>
      <c r="O824" s="21" t="str">
        <f>HYPERLINK("obsidian://open?vault=o2&amp;file=Car%20Info.md","Car Info")</f>
        <v>Car Info</v>
      </c>
      <c r="P824" s="11" t="s">
        <v>175</v>
      </c>
      <c r="AR824" s="11">
        <f>SUBTOTAL(3,_xlfn.SINGLE(tbl_pros[RowId]))</f>
        <v>1</v>
      </c>
    </row>
    <row r="825" spans="10:44">
      <c r="J825" s="4">
        <v>815</v>
      </c>
      <c r="K825" s="20" t="s">
        <v>50</v>
      </c>
      <c r="L825" s="2" t="s">
        <v>1706</v>
      </c>
      <c r="M825" s="4">
        <v>1</v>
      </c>
      <c r="N825" s="4" t="s">
        <v>1707</v>
      </c>
      <c r="O825" s="21" t="str">
        <f>HYPERLINK("obsidian://open?vault=o2&amp;file=MyTunes.md","MyTunes")</f>
        <v>MyTunes</v>
      </c>
      <c r="P825" s="11" t="s">
        <v>175</v>
      </c>
      <c r="AR825" s="11">
        <f>SUBTOTAL(3,_xlfn.SINGLE(tbl_pros[RowId]))</f>
        <v>1</v>
      </c>
    </row>
    <row r="826" spans="10:44">
      <c r="J826" s="4">
        <v>816</v>
      </c>
      <c r="K826" s="20" t="s">
        <v>50</v>
      </c>
      <c r="L826" s="2" t="s">
        <v>1708</v>
      </c>
      <c r="M826" s="4">
        <v>1</v>
      </c>
      <c r="N826" s="4" t="s">
        <v>1709</v>
      </c>
      <c r="O826" s="21" t="str">
        <f>HYPERLINK("obsidian://open?vault=o2&amp;file=2022-M07.md","2022-M07")</f>
        <v>2022-M07</v>
      </c>
      <c r="P826" s="11" t="s">
        <v>175</v>
      </c>
      <c r="AR826" s="11">
        <f>SUBTOTAL(3,_xlfn.SINGLE(tbl_pros[RowId]))</f>
        <v>1</v>
      </c>
    </row>
    <row r="827" spans="10:44">
      <c r="J827" s="4">
        <v>817</v>
      </c>
      <c r="K827" s="20" t="s">
        <v>50</v>
      </c>
      <c r="L827" s="2" t="s">
        <v>1710</v>
      </c>
      <c r="M827" s="4">
        <v>4</v>
      </c>
      <c r="N827" s="4" t="s">
        <v>1711</v>
      </c>
      <c r="O827" s="21" t="str">
        <f>HYPERLINK("obsidian://open?vault=o2&amp;file=2024-Q4.md","2024-Q4")</f>
        <v>2024-Q4</v>
      </c>
      <c r="P827" s="11" t="s">
        <v>175</v>
      </c>
      <c r="Q827" s="21" t="str">
        <f>HYPERLINK("obsidian://open?vault=o2&amp;file=2022-W34.md","2022-W34")</f>
        <v>2022-W34</v>
      </c>
      <c r="R827" s="11" t="s">
        <v>175</v>
      </c>
      <c r="S827" s="21" t="str">
        <f>HYPERLINK("obsidian://open?vault=o2&amp;file=2024.md","2024")</f>
        <v>2024</v>
      </c>
      <c r="T827" s="11" t="s">
        <v>175</v>
      </c>
      <c r="U827" s="21" t="str">
        <f>HYPERLINK("obsidian://open?vault=o2&amp;file=2025.md","2025")</f>
        <v>2025</v>
      </c>
      <c r="V827" s="11" t="s">
        <v>175</v>
      </c>
      <c r="AR827" s="11">
        <f>SUBTOTAL(3,_xlfn.SINGLE(tbl_pros[RowId]))</f>
        <v>1</v>
      </c>
    </row>
    <row r="828" spans="10:44">
      <c r="J828" s="4">
        <v>818</v>
      </c>
      <c r="K828" s="20" t="s">
        <v>50</v>
      </c>
      <c r="L828" s="2" t="s">
        <v>1712</v>
      </c>
      <c r="M828" s="4">
        <v>3</v>
      </c>
      <c r="N828" s="4" t="s">
        <v>1713</v>
      </c>
      <c r="O828" s="21" t="str">
        <f>HYPERLINK("obsidian://open?vault=o2&amp;file=peepsTemplate.md","peepsTemplate")</f>
        <v>peepsTemplate</v>
      </c>
      <c r="P828" s="11" t="s">
        <v>175</v>
      </c>
      <c r="Q828" s="21" t="str">
        <f>HYPERLINK("obsidian://open?vault=o2&amp;file=peepsTemplatetest1.md","peepsTemplatetest1")</f>
        <v>peepsTemplatetest1</v>
      </c>
      <c r="R828" s="11" t="s">
        <v>175</v>
      </c>
      <c r="S828" s="21" t="str">
        <f>HYPERLINK("obsidian://open?vault=o2&amp;file=personsTemplate.md","personsTemplate")</f>
        <v>personsTemplate</v>
      </c>
      <c r="T828" s="11" t="s">
        <v>175</v>
      </c>
      <c r="AR828" s="11">
        <f>SUBTOTAL(3,_xlfn.SINGLE(tbl_pros[RowId]))</f>
        <v>1</v>
      </c>
    </row>
    <row r="829" spans="10:44">
      <c r="J829" s="4">
        <v>819</v>
      </c>
      <c r="K829" s="20" t="s">
        <v>51</v>
      </c>
      <c r="L829" s="2" t="b">
        <v>1</v>
      </c>
      <c r="M829" s="4">
        <v>1</v>
      </c>
      <c r="N829" s="4" t="s">
        <v>1714</v>
      </c>
      <c r="O829" s="21" t="str">
        <f>HYPERLINK("obsidian://open?vault=o2&amp;file=projects.md","projects")</f>
        <v>projects</v>
      </c>
      <c r="P829" s="11" t="s">
        <v>175</v>
      </c>
      <c r="AR829" s="11">
        <f>SUBTOTAL(3,_xlfn.SINGLE(tbl_pros[RowId]))</f>
        <v>1</v>
      </c>
    </row>
    <row r="830" spans="10:44">
      <c r="J830" s="4">
        <v>820</v>
      </c>
      <c r="K830" s="20" t="s">
        <v>52</v>
      </c>
      <c r="L830" s="2" t="s">
        <v>1715</v>
      </c>
      <c r="M830" s="4">
        <v>1</v>
      </c>
      <c r="N830" s="4" t="s">
        <v>1716</v>
      </c>
      <c r="O830" s="21" t="str">
        <f>HYPERLINK("obsidian://open?vault=o2&amp;file=YTV%20Template.md","YTV Template")</f>
        <v>YTV Template</v>
      </c>
      <c r="P830" s="11" t="s">
        <v>175</v>
      </c>
      <c r="AR830" s="11">
        <f>SUBTOTAL(3,_xlfn.SINGLE(tbl_pros[RowId]))</f>
        <v>1</v>
      </c>
    </row>
    <row r="831" spans="10:44">
      <c r="J831" s="4">
        <v>821</v>
      </c>
      <c r="K831" s="20" t="s">
        <v>53</v>
      </c>
      <c r="L831" s="2" t="s">
        <v>1717</v>
      </c>
      <c r="M831" s="4">
        <v>1</v>
      </c>
      <c r="N831" s="4" t="s">
        <v>1718</v>
      </c>
      <c r="O831" s="21" t="str">
        <f>HYPERLINK("obsidian://open?vault=o2&amp;file=10th%20Step%20Homework.md","10th Step Homework")</f>
        <v>10th Step Homework</v>
      </c>
      <c r="P831" s="11" t="s">
        <v>175</v>
      </c>
      <c r="AR831" s="11">
        <f>SUBTOTAL(3,_xlfn.SINGLE(tbl_pros[RowId]))</f>
        <v>1</v>
      </c>
    </row>
    <row r="832" spans="10:44">
      <c r="J832" s="4">
        <v>822</v>
      </c>
      <c r="K832" s="20" t="s">
        <v>54</v>
      </c>
      <c r="L832" s="2"/>
      <c r="M832" s="4">
        <v>1</v>
      </c>
      <c r="N832" s="4" t="s">
        <v>1719</v>
      </c>
      <c r="O832" s="21" t="str">
        <f>HYPERLINK("obsidian://open?vault=o2&amp;file=peepsTemplatetest1.md","peepsTemplatetest1")</f>
        <v>peepsTemplatetest1</v>
      </c>
      <c r="P832" s="11" t="s">
        <v>175</v>
      </c>
      <c r="AR832" s="11">
        <f>SUBTOTAL(3,_xlfn.SINGLE(tbl_pros[RowId]))</f>
        <v>1</v>
      </c>
    </row>
    <row r="833" spans="10:44">
      <c r="J833" s="4">
        <v>823</v>
      </c>
      <c r="K833" s="20" t="s">
        <v>55</v>
      </c>
      <c r="L833" s="2"/>
      <c r="M833" s="4">
        <v>2</v>
      </c>
      <c r="N833" s="4" t="s">
        <v>1720</v>
      </c>
      <c r="O833" s="21" t="str">
        <f>HYPERLINK("obsidian://open?vault=o2&amp;file=peepsTemplate.md","peepsTemplate")</f>
        <v>peepsTemplate</v>
      </c>
      <c r="P833" s="11" t="s">
        <v>175</v>
      </c>
      <c r="Q833" s="21" t="str">
        <f>HYPERLINK("obsidian://open?vault=o2&amp;file=peepsTemplatetest1.md","peepsTemplatetest1")</f>
        <v>peepsTemplatetest1</v>
      </c>
      <c r="R833" s="11" t="s">
        <v>175</v>
      </c>
      <c r="AR833" s="11">
        <f>SUBTOTAL(3,_xlfn.SINGLE(tbl_pros[RowId]))</f>
        <v>1</v>
      </c>
    </row>
    <row r="834" spans="10:44">
      <c r="J834" s="4">
        <v>824</v>
      </c>
      <c r="K834" s="20" t="s">
        <v>56</v>
      </c>
      <c r="L834" s="2"/>
      <c r="M834" s="4">
        <v>2</v>
      </c>
      <c r="N834" s="4" t="s">
        <v>1721</v>
      </c>
      <c r="O834" s="21" t="str">
        <f>HYPERLINK("obsidian://open?vault=o2&amp;file=peepsTemplate.md","peepsTemplate")</f>
        <v>peepsTemplate</v>
      </c>
      <c r="P834" s="11" t="s">
        <v>175</v>
      </c>
      <c r="Q834" s="21" t="str">
        <f>HYPERLINK("obsidian://open?vault=o2&amp;file=peepsTemplatetest1.md","peepsTemplatetest1")</f>
        <v>peepsTemplatetest1</v>
      </c>
      <c r="R834" s="11" t="s">
        <v>175</v>
      </c>
      <c r="AR834" s="11">
        <f>SUBTOTAL(3,_xlfn.SINGLE(tbl_pros[RowId]))</f>
        <v>1</v>
      </c>
    </row>
    <row r="835" spans="10:44">
      <c r="J835" s="4">
        <v>825</v>
      </c>
      <c r="K835" s="20" t="s">
        <v>57</v>
      </c>
      <c r="L835" s="2"/>
      <c r="M835" s="4">
        <v>2</v>
      </c>
      <c r="N835" s="4" t="s">
        <v>1722</v>
      </c>
      <c r="O835" s="21" t="str">
        <f>HYPERLINK("obsidian://open?vault=o2&amp;file=peepsTemplate.md","peepsTemplate")</f>
        <v>peepsTemplate</v>
      </c>
      <c r="P835" s="11" t="s">
        <v>175</v>
      </c>
      <c r="Q835" s="21" t="str">
        <f>HYPERLINK("obsidian://open?vault=o2&amp;file=peepsTemplatetest1.md","peepsTemplatetest1")</f>
        <v>peepsTemplatetest1</v>
      </c>
      <c r="R835" s="11" t="s">
        <v>175</v>
      </c>
      <c r="AR835" s="11">
        <f>SUBTOTAL(3,_xlfn.SINGLE(tbl_pros[RowId]))</f>
        <v>1</v>
      </c>
    </row>
    <row r="836" spans="10:44">
      <c r="J836" s="4">
        <v>826</v>
      </c>
      <c r="K836" s="20" t="s">
        <v>58</v>
      </c>
      <c r="L836" s="2"/>
      <c r="M836" s="4">
        <v>2</v>
      </c>
      <c r="N836" s="4" t="s">
        <v>1723</v>
      </c>
      <c r="O836" s="21" t="str">
        <f>HYPERLINK("obsidian://open?vault=o2&amp;file=peepsTemplate.md","peepsTemplate")</f>
        <v>peepsTemplate</v>
      </c>
      <c r="P836" s="11" t="s">
        <v>175</v>
      </c>
      <c r="Q836" s="21" t="str">
        <f>HYPERLINK("obsidian://open?vault=o2&amp;file=peepsTemplatetest1.md","peepsTemplatetest1")</f>
        <v>peepsTemplatetest1</v>
      </c>
      <c r="R836" s="11" t="s">
        <v>175</v>
      </c>
      <c r="AR836" s="11">
        <f>SUBTOTAL(3,_xlfn.SINGLE(tbl_pros[RowId]))</f>
        <v>1</v>
      </c>
    </row>
    <row r="837" spans="10:44">
      <c r="J837" s="4">
        <v>827</v>
      </c>
      <c r="K837" s="20" t="s">
        <v>59</v>
      </c>
      <c r="L837" s="2"/>
      <c r="M837" s="4">
        <v>2</v>
      </c>
      <c r="N837" s="4" t="s">
        <v>1724</v>
      </c>
      <c r="O837" s="21" t="str">
        <f>HYPERLINK("obsidian://open?vault=o2&amp;file=peepsTemplate.md","peepsTemplate")</f>
        <v>peepsTemplate</v>
      </c>
      <c r="P837" s="11" t="s">
        <v>175</v>
      </c>
      <c r="Q837" s="21" t="str">
        <f>HYPERLINK("obsidian://open?vault=o2&amp;file=peepsTemplatetest1.md","peepsTemplatetest1")</f>
        <v>peepsTemplatetest1</v>
      </c>
      <c r="R837" s="11" t="s">
        <v>175</v>
      </c>
      <c r="AR837" s="11">
        <f>SUBTOTAL(3,_xlfn.SINGLE(tbl_pros[RowId]))</f>
        <v>1</v>
      </c>
    </row>
    <row r="838" spans="10:44">
      <c r="J838" s="4">
        <v>828</v>
      </c>
      <c r="K838" s="20" t="s">
        <v>60</v>
      </c>
      <c r="L838" s="2"/>
      <c r="M838" s="4">
        <v>1</v>
      </c>
      <c r="N838" s="4" t="s">
        <v>1725</v>
      </c>
      <c r="O838" s="21" t="str">
        <f>HYPERLINK("obsidian://open?vault=o2&amp;file=peepsTemplatetest1.md","peepsTemplatetest1")</f>
        <v>peepsTemplatetest1</v>
      </c>
      <c r="P838" s="11" t="s">
        <v>175</v>
      </c>
      <c r="AR838" s="11">
        <f>SUBTOTAL(3,_xlfn.SINGLE(tbl_pros[RowId]))</f>
        <v>1</v>
      </c>
    </row>
    <row r="839" spans="10:44">
      <c r="J839" s="4">
        <v>829</v>
      </c>
      <c r="K839" s="20" t="s">
        <v>61</v>
      </c>
      <c r="L839" s="2"/>
      <c r="M839" s="4">
        <v>2</v>
      </c>
      <c r="N839" s="4" t="s">
        <v>1726</v>
      </c>
      <c r="O839" s="21" t="str">
        <f>HYPERLINK("obsidian://open?vault=o2&amp;file=peepsTemplate.md","peepsTemplate")</f>
        <v>peepsTemplate</v>
      </c>
      <c r="P839" s="11" t="s">
        <v>175</v>
      </c>
      <c r="Q839" s="21" t="str">
        <f>HYPERLINK("obsidian://open?vault=o2&amp;file=peepsTemplatetest1.md","peepsTemplatetest1")</f>
        <v>peepsTemplatetest1</v>
      </c>
      <c r="R839" s="11" t="s">
        <v>175</v>
      </c>
      <c r="AR839" s="11">
        <f>SUBTOTAL(3,_xlfn.SINGLE(tbl_pros[RowId]))</f>
        <v>1</v>
      </c>
    </row>
    <row r="840" spans="10:44">
      <c r="J840" s="4">
        <v>830</v>
      </c>
      <c r="K840" s="20" t="s">
        <v>62</v>
      </c>
      <c r="L840" s="2"/>
      <c r="M840" s="4">
        <v>2</v>
      </c>
      <c r="N840" s="4" t="s">
        <v>1727</v>
      </c>
      <c r="O840" s="21" t="str">
        <f>HYPERLINK("obsidian://open?vault=o2&amp;file=peepsTemplate.md","peepsTemplate")</f>
        <v>peepsTemplate</v>
      </c>
      <c r="P840" s="11" t="s">
        <v>175</v>
      </c>
      <c r="Q840" s="21" t="str">
        <f>HYPERLINK("obsidian://open?vault=o2&amp;file=peepsTemplatetest1.md","peepsTemplatetest1")</f>
        <v>peepsTemplatetest1</v>
      </c>
      <c r="R840" s="11" t="s">
        <v>175</v>
      </c>
      <c r="AR840" s="11">
        <f>SUBTOTAL(3,_xlfn.SINGLE(tbl_pros[RowId]))</f>
        <v>1</v>
      </c>
    </row>
    <row r="841" spans="10:44">
      <c r="J841" s="4">
        <v>831</v>
      </c>
      <c r="K841" s="20" t="s">
        <v>63</v>
      </c>
      <c r="L841" s="2"/>
      <c r="M841" s="4">
        <v>1</v>
      </c>
      <c r="N841" s="4" t="s">
        <v>1728</v>
      </c>
      <c r="O841" s="21" t="str">
        <f>HYPERLINK("obsidian://open?vault=o2&amp;file=peepsTemplatetest1.md","peepsTemplatetest1")</f>
        <v>peepsTemplatetest1</v>
      </c>
      <c r="P841" s="11" t="s">
        <v>175</v>
      </c>
      <c r="AR841" s="11">
        <f>SUBTOTAL(3,_xlfn.SINGLE(tbl_pros[RowId]))</f>
        <v>1</v>
      </c>
    </row>
    <row r="842" spans="10:44">
      <c r="J842" s="4">
        <v>832</v>
      </c>
      <c r="K842" s="20" t="s">
        <v>64</v>
      </c>
      <c r="L842" s="2"/>
      <c r="M842" s="4">
        <v>2</v>
      </c>
      <c r="N842" s="4" t="s">
        <v>1729</v>
      </c>
      <c r="O842" s="21" t="str">
        <f>HYPERLINK("obsidian://open?vault=o2&amp;file=peepsTemplate.md","peepsTemplate")</f>
        <v>peepsTemplate</v>
      </c>
      <c r="P842" s="11" t="s">
        <v>175</v>
      </c>
      <c r="Q842" s="21" t="str">
        <f>HYPERLINK("obsidian://open?vault=o2&amp;file=peepsTemplatetest1.md","peepsTemplatetest1")</f>
        <v>peepsTemplatetest1</v>
      </c>
      <c r="R842" s="11" t="s">
        <v>175</v>
      </c>
      <c r="AR842" s="11">
        <f>SUBTOTAL(3,_xlfn.SINGLE(tbl_pros[RowId]))</f>
        <v>1</v>
      </c>
    </row>
    <row r="843" spans="10:44">
      <c r="J843" s="4">
        <v>833</v>
      </c>
      <c r="K843" s="20" t="s">
        <v>65</v>
      </c>
      <c r="L843" s="2"/>
      <c r="M843" s="4">
        <v>1</v>
      </c>
      <c r="N843" s="4" t="s">
        <v>1730</v>
      </c>
      <c r="O843" s="21" t="str">
        <f>HYPERLINK("obsidian://open?vault=o2&amp;file=peepsTemplatetest1.md","peepsTemplatetest1")</f>
        <v>peepsTemplatetest1</v>
      </c>
      <c r="P843" s="11" t="s">
        <v>175</v>
      </c>
      <c r="AR843" s="11">
        <f>SUBTOTAL(3,_xlfn.SINGLE(tbl_pros[RowId]))</f>
        <v>1</v>
      </c>
    </row>
    <row r="844" spans="10:44">
      <c r="J844" s="4">
        <v>834</v>
      </c>
      <c r="K844" s="20" t="s">
        <v>66</v>
      </c>
      <c r="L844" s="2"/>
      <c r="M844" s="4">
        <v>2</v>
      </c>
      <c r="N844" s="4" t="s">
        <v>1731</v>
      </c>
      <c r="O844" s="21" t="str">
        <f>HYPERLINK("obsidian://open?vault=o2&amp;file=peepsTemplate.md","peepsTemplate")</f>
        <v>peepsTemplate</v>
      </c>
      <c r="P844" s="11" t="s">
        <v>175</v>
      </c>
      <c r="Q844" s="21" t="str">
        <f>HYPERLINK("obsidian://open?vault=o2&amp;file=peepsTemplatetest1.md","peepsTemplatetest1")</f>
        <v>peepsTemplatetest1</v>
      </c>
      <c r="R844" s="11" t="s">
        <v>175</v>
      </c>
      <c r="AR844" s="11">
        <f>SUBTOTAL(3,_xlfn.SINGLE(tbl_pros[RowId]))</f>
        <v>1</v>
      </c>
    </row>
    <row r="845" spans="10:44">
      <c r="J845" s="4">
        <v>835</v>
      </c>
      <c r="K845" s="20" t="s">
        <v>67</v>
      </c>
      <c r="L845" s="2"/>
      <c r="M845" s="4">
        <v>1</v>
      </c>
      <c r="N845" s="4" t="s">
        <v>1732</v>
      </c>
      <c r="O845" s="21" t="str">
        <f>HYPERLINK("obsidian://open?vault=o2&amp;file=peepsTemplatetest1.md","peepsTemplatetest1")</f>
        <v>peepsTemplatetest1</v>
      </c>
      <c r="P845" s="11" t="s">
        <v>175</v>
      </c>
      <c r="AR845" s="11">
        <f>SUBTOTAL(3,_xlfn.SINGLE(tbl_pros[RowId]))</f>
        <v>1</v>
      </c>
    </row>
    <row r="846" spans="10:44">
      <c r="J846" s="4">
        <v>836</v>
      </c>
      <c r="K846" s="20" t="s">
        <v>68</v>
      </c>
      <c r="L846" s="2"/>
      <c r="M846" s="4">
        <v>2</v>
      </c>
      <c r="N846" s="4" t="s">
        <v>1733</v>
      </c>
      <c r="O846" s="21" t="str">
        <f>HYPERLINK("obsidian://open?vault=o2&amp;file=peepsTemplate.md","peepsTemplate")</f>
        <v>peepsTemplate</v>
      </c>
      <c r="P846" s="11" t="s">
        <v>175</v>
      </c>
      <c r="Q846" s="21" t="str">
        <f>HYPERLINK("obsidian://open?vault=o2&amp;file=peepsTemplatetest1.md","peepsTemplatetest1")</f>
        <v>peepsTemplatetest1</v>
      </c>
      <c r="R846" s="11" t="s">
        <v>175</v>
      </c>
      <c r="AR846" s="11">
        <f>SUBTOTAL(3,_xlfn.SINGLE(tbl_pros[RowId]))</f>
        <v>1</v>
      </c>
    </row>
    <row r="847" spans="10:44">
      <c r="J847" s="4">
        <v>837</v>
      </c>
      <c r="K847" s="20" t="s">
        <v>69</v>
      </c>
      <c r="L847" s="2"/>
      <c r="M847" s="4">
        <v>1</v>
      </c>
      <c r="N847" s="4" t="s">
        <v>1734</v>
      </c>
      <c r="O847" s="21" t="str">
        <f t="shared" ref="O847:O858" si="18">HYPERLINK("obsidian://open?vault=o2&amp;file=peepsTemplatetest1.md","peepsTemplatetest1")</f>
        <v>peepsTemplatetest1</v>
      </c>
      <c r="P847" s="11" t="s">
        <v>175</v>
      </c>
      <c r="AR847" s="11">
        <f>SUBTOTAL(3,_xlfn.SINGLE(tbl_pros[RowId]))</f>
        <v>1</v>
      </c>
    </row>
    <row r="848" spans="10:44">
      <c r="J848" s="4">
        <v>838</v>
      </c>
      <c r="K848" s="20" t="s">
        <v>70</v>
      </c>
      <c r="L848" s="2"/>
      <c r="M848" s="4">
        <v>1</v>
      </c>
      <c r="N848" s="4" t="s">
        <v>1735</v>
      </c>
      <c r="O848" s="21" t="str">
        <f t="shared" si="18"/>
        <v>peepsTemplatetest1</v>
      </c>
      <c r="P848" s="11" t="s">
        <v>175</v>
      </c>
      <c r="AR848" s="11">
        <f>SUBTOTAL(3,_xlfn.SINGLE(tbl_pros[RowId]))</f>
        <v>1</v>
      </c>
    </row>
    <row r="849" spans="10:44">
      <c r="J849" s="4">
        <v>839</v>
      </c>
      <c r="K849" s="20" t="s">
        <v>71</v>
      </c>
      <c r="L849" s="2" t="b">
        <v>0</v>
      </c>
      <c r="M849" s="4">
        <v>1</v>
      </c>
      <c r="N849" s="4" t="s">
        <v>1736</v>
      </c>
      <c r="O849" s="21" t="str">
        <f t="shared" si="18"/>
        <v>peepsTemplatetest1</v>
      </c>
      <c r="P849" s="11" t="s">
        <v>175</v>
      </c>
      <c r="AR849" s="11">
        <f>SUBTOTAL(3,_xlfn.SINGLE(tbl_pros[RowId]))</f>
        <v>1</v>
      </c>
    </row>
    <row r="850" spans="10:44">
      <c r="J850" s="4">
        <v>840</v>
      </c>
      <c r="K850" s="20" t="s">
        <v>72</v>
      </c>
      <c r="L850" s="2"/>
      <c r="M850" s="4">
        <v>1</v>
      </c>
      <c r="N850" s="4" t="s">
        <v>1737</v>
      </c>
      <c r="O850" s="21" t="str">
        <f t="shared" si="18"/>
        <v>peepsTemplatetest1</v>
      </c>
      <c r="P850" s="11" t="s">
        <v>175</v>
      </c>
      <c r="AR850" s="11">
        <f>SUBTOTAL(3,_xlfn.SINGLE(tbl_pros[RowId]))</f>
        <v>1</v>
      </c>
    </row>
    <row r="851" spans="10:44">
      <c r="J851" s="4">
        <v>841</v>
      </c>
      <c r="K851" s="20" t="s">
        <v>73</v>
      </c>
      <c r="L851" s="2"/>
      <c r="M851" s="4">
        <v>1</v>
      </c>
      <c r="N851" s="4" t="s">
        <v>1738</v>
      </c>
      <c r="O851" s="21" t="str">
        <f t="shared" si="18"/>
        <v>peepsTemplatetest1</v>
      </c>
      <c r="P851" s="11" t="s">
        <v>175</v>
      </c>
      <c r="AR851" s="11">
        <f>SUBTOTAL(3,_xlfn.SINGLE(tbl_pros[RowId]))</f>
        <v>1</v>
      </c>
    </row>
    <row r="852" spans="10:44">
      <c r="J852" s="4">
        <v>842</v>
      </c>
      <c r="K852" s="20" t="s">
        <v>74</v>
      </c>
      <c r="L852" s="2"/>
      <c r="M852" s="4">
        <v>1</v>
      </c>
      <c r="N852" s="4" t="s">
        <v>1739</v>
      </c>
      <c r="O852" s="21" t="str">
        <f t="shared" si="18"/>
        <v>peepsTemplatetest1</v>
      </c>
      <c r="P852" s="11" t="s">
        <v>175</v>
      </c>
      <c r="AR852" s="11">
        <f>SUBTOTAL(3,_xlfn.SINGLE(tbl_pros[RowId]))</f>
        <v>1</v>
      </c>
    </row>
    <row r="853" spans="10:44">
      <c r="J853" s="4">
        <v>843</v>
      </c>
      <c r="K853" s="20" t="s">
        <v>75</v>
      </c>
      <c r="L853" s="2"/>
      <c r="M853" s="4">
        <v>1</v>
      </c>
      <c r="N853" s="4" t="s">
        <v>1740</v>
      </c>
      <c r="O853" s="21" t="str">
        <f t="shared" si="18"/>
        <v>peepsTemplatetest1</v>
      </c>
      <c r="P853" s="11" t="s">
        <v>175</v>
      </c>
      <c r="AR853" s="11">
        <f>SUBTOTAL(3,_xlfn.SINGLE(tbl_pros[RowId]))</f>
        <v>1</v>
      </c>
    </row>
    <row r="854" spans="10:44">
      <c r="J854" s="4">
        <v>844</v>
      </c>
      <c r="K854" s="20" t="s">
        <v>76</v>
      </c>
      <c r="L854" s="2"/>
      <c r="M854" s="4">
        <v>1</v>
      </c>
      <c r="N854" s="4" t="s">
        <v>1741</v>
      </c>
      <c r="O854" s="21" t="str">
        <f t="shared" si="18"/>
        <v>peepsTemplatetest1</v>
      </c>
      <c r="P854" s="11" t="s">
        <v>175</v>
      </c>
      <c r="AR854" s="11">
        <f>SUBTOTAL(3,_xlfn.SINGLE(tbl_pros[RowId]))</f>
        <v>1</v>
      </c>
    </row>
    <row r="855" spans="10:44">
      <c r="J855" s="4">
        <v>845</v>
      </c>
      <c r="K855" s="20" t="s">
        <v>77</v>
      </c>
      <c r="L855" s="2"/>
      <c r="M855" s="4">
        <v>1</v>
      </c>
      <c r="N855" s="4" t="s">
        <v>1742</v>
      </c>
      <c r="O855" s="21" t="str">
        <f t="shared" si="18"/>
        <v>peepsTemplatetest1</v>
      </c>
      <c r="P855" s="11" t="s">
        <v>175</v>
      </c>
      <c r="AR855" s="11">
        <f>SUBTOTAL(3,_xlfn.SINGLE(tbl_pros[RowId]))</f>
        <v>1</v>
      </c>
    </row>
    <row r="856" spans="10:44">
      <c r="J856" s="4">
        <v>846</v>
      </c>
      <c r="K856" s="20" t="s">
        <v>78</v>
      </c>
      <c r="L856" s="2"/>
      <c r="M856" s="4">
        <v>1</v>
      </c>
      <c r="N856" s="4" t="s">
        <v>1743</v>
      </c>
      <c r="O856" s="21" t="str">
        <f t="shared" si="18"/>
        <v>peepsTemplatetest1</v>
      </c>
      <c r="P856" s="11" t="s">
        <v>175</v>
      </c>
      <c r="AR856" s="11">
        <f>SUBTOTAL(3,_xlfn.SINGLE(tbl_pros[RowId]))</f>
        <v>1</v>
      </c>
    </row>
    <row r="857" spans="10:44">
      <c r="J857" s="4">
        <v>847</v>
      </c>
      <c r="K857" s="20" t="s">
        <v>79</v>
      </c>
      <c r="L857" s="2"/>
      <c r="M857" s="4">
        <v>1</v>
      </c>
      <c r="N857" s="4" t="s">
        <v>1744</v>
      </c>
      <c r="O857" s="21" t="str">
        <f t="shared" si="18"/>
        <v>peepsTemplatetest1</v>
      </c>
      <c r="P857" s="11" t="s">
        <v>175</v>
      </c>
      <c r="AR857" s="11">
        <f>SUBTOTAL(3,_xlfn.SINGLE(tbl_pros[RowId]))</f>
        <v>1</v>
      </c>
    </row>
    <row r="858" spans="10:44">
      <c r="J858" s="4">
        <v>848</v>
      </c>
      <c r="K858" s="20" t="s">
        <v>80</v>
      </c>
      <c r="L858" s="2"/>
      <c r="M858" s="4">
        <v>1</v>
      </c>
      <c r="N858" s="4" t="s">
        <v>1745</v>
      </c>
      <c r="O858" s="21" t="str">
        <f t="shared" si="18"/>
        <v>peepsTemplatetest1</v>
      </c>
      <c r="P858" s="11" t="s">
        <v>175</v>
      </c>
      <c r="AR858" s="11">
        <f>SUBTOTAL(3,_xlfn.SINGLE(tbl_pros[RowId]))</f>
        <v>1</v>
      </c>
    </row>
    <row r="859" spans="10:44">
      <c r="J859" s="4">
        <v>849</v>
      </c>
      <c r="K859" s="20" t="s">
        <v>81</v>
      </c>
      <c r="L859" s="2"/>
      <c r="M859" s="4">
        <v>2</v>
      </c>
      <c r="N859" s="4" t="s">
        <v>1746</v>
      </c>
      <c r="O859" s="21" t="str">
        <f>HYPERLINK("obsidian://open?vault=o2&amp;file=peepsTemplate.md","peepsTemplate")</f>
        <v>peepsTemplate</v>
      </c>
      <c r="P859" s="11" t="s">
        <v>175</v>
      </c>
      <c r="Q859" s="21" t="str">
        <f>HYPERLINK("obsidian://open?vault=o2&amp;file=peepsTemplatetest1.md","peepsTemplatetest1")</f>
        <v>peepsTemplatetest1</v>
      </c>
      <c r="R859" s="11" t="s">
        <v>175</v>
      </c>
      <c r="AR859" s="11">
        <f>SUBTOTAL(3,_xlfn.SINGLE(tbl_pros[RowId]))</f>
        <v>1</v>
      </c>
    </row>
    <row r="860" spans="10:44">
      <c r="J860" s="4">
        <v>850</v>
      </c>
      <c r="K860" s="20" t="s">
        <v>82</v>
      </c>
      <c r="L860" s="2"/>
      <c r="M860" s="4">
        <v>1</v>
      </c>
      <c r="N860" s="4" t="s">
        <v>1747</v>
      </c>
      <c r="O860" s="21" t="str">
        <f>HYPERLINK("obsidian://open?vault=o2&amp;file=peepsTemplatetest1.md","peepsTemplatetest1")</f>
        <v>peepsTemplatetest1</v>
      </c>
      <c r="P860" s="11" t="s">
        <v>175</v>
      </c>
      <c r="AR860" s="11">
        <f>SUBTOTAL(3,_xlfn.SINGLE(tbl_pros[RowId]))</f>
        <v>1</v>
      </c>
    </row>
    <row r="861" spans="10:44">
      <c r="J861" s="4">
        <v>851</v>
      </c>
      <c r="K861" s="20" t="s">
        <v>83</v>
      </c>
      <c r="L861" s="2"/>
      <c r="M861" s="4">
        <v>1</v>
      </c>
      <c r="N861" s="4" t="s">
        <v>1748</v>
      </c>
      <c r="O861" s="21" t="str">
        <f>HYPERLINK("obsidian://open?vault=o2&amp;file=peepsTemplatetest1.md","peepsTemplatetest1")</f>
        <v>peepsTemplatetest1</v>
      </c>
      <c r="P861" s="11" t="s">
        <v>175</v>
      </c>
      <c r="AR861" s="11">
        <f>SUBTOTAL(3,_xlfn.SINGLE(tbl_pros[RowId]))</f>
        <v>1</v>
      </c>
    </row>
    <row r="862" spans="10:44">
      <c r="J862" s="4">
        <v>852</v>
      </c>
      <c r="K862" s="20" t="s">
        <v>84</v>
      </c>
      <c r="L862" s="2"/>
      <c r="M862" s="4">
        <v>2</v>
      </c>
      <c r="N862" s="4" t="s">
        <v>1749</v>
      </c>
      <c r="O862" s="21" t="str">
        <f>HYPERLINK("obsidian://open?vault=o2&amp;file=peepsTemplate.md","peepsTemplate")</f>
        <v>peepsTemplate</v>
      </c>
      <c r="P862" s="11" t="s">
        <v>175</v>
      </c>
      <c r="Q862" s="21" t="str">
        <f>HYPERLINK("obsidian://open?vault=o2&amp;file=peepsTemplatetest1.md","peepsTemplatetest1")</f>
        <v>peepsTemplatetest1</v>
      </c>
      <c r="R862" s="11" t="s">
        <v>175</v>
      </c>
      <c r="AR862" s="11">
        <f>SUBTOTAL(3,_xlfn.SINGLE(tbl_pros[RowId]))</f>
        <v>1</v>
      </c>
    </row>
    <row r="863" spans="10:44">
      <c r="J863" s="4">
        <v>853</v>
      </c>
      <c r="K863" s="20" t="s">
        <v>85</v>
      </c>
      <c r="L863" s="2"/>
      <c r="M863" s="4">
        <v>1</v>
      </c>
      <c r="N863" s="4" t="s">
        <v>1750</v>
      </c>
      <c r="O863" s="21" t="str">
        <f>HYPERLINK("obsidian://open?vault=o2&amp;file=peepsTemplate.md","peepsTemplate")</f>
        <v>peepsTemplate</v>
      </c>
      <c r="P863" s="11" t="s">
        <v>175</v>
      </c>
      <c r="AR863" s="11">
        <f>SUBTOTAL(3,_xlfn.SINGLE(tbl_pros[RowId]))</f>
        <v>1</v>
      </c>
    </row>
    <row r="864" spans="10:44">
      <c r="J864" s="4">
        <v>854</v>
      </c>
      <c r="K864" s="20" t="s">
        <v>86</v>
      </c>
      <c r="L864" s="2"/>
      <c r="M864" s="4">
        <v>1</v>
      </c>
      <c r="N864" s="4" t="s">
        <v>1751</v>
      </c>
      <c r="O864" s="21" t="str">
        <f>HYPERLINK("obsidian://open?vault=o2&amp;file=peepsTemplate.md","peepsTemplate")</f>
        <v>peepsTemplate</v>
      </c>
      <c r="P864" s="11" t="s">
        <v>175</v>
      </c>
      <c r="AR864" s="11">
        <f>SUBTOTAL(3,_xlfn.SINGLE(tbl_pros[RowId]))</f>
        <v>1</v>
      </c>
    </row>
    <row r="865" spans="10:44">
      <c r="J865" s="4">
        <v>855</v>
      </c>
      <c r="K865" s="20" t="s">
        <v>87</v>
      </c>
      <c r="L865" s="2"/>
      <c r="M865" s="4">
        <v>1</v>
      </c>
      <c r="N865" s="4" t="s">
        <v>1752</v>
      </c>
      <c r="O865" s="21" t="str">
        <f>HYPERLINK("obsidian://open?vault=o2&amp;file=peepsTemplatetest1.md","peepsTemplatetest1")</f>
        <v>peepsTemplatetest1</v>
      </c>
      <c r="P865" s="11" t="s">
        <v>175</v>
      </c>
      <c r="AR865" s="11">
        <f>SUBTOTAL(3,_xlfn.SINGLE(tbl_pros[RowId]))</f>
        <v>1</v>
      </c>
    </row>
    <row r="866" spans="10:44">
      <c r="J866" s="4">
        <v>856</v>
      </c>
      <c r="K866" s="20" t="s">
        <v>88</v>
      </c>
      <c r="L866" s="2"/>
      <c r="M866" s="4">
        <v>1</v>
      </c>
      <c r="N866" s="4" t="s">
        <v>1753</v>
      </c>
      <c r="O866" s="21" t="str">
        <f>HYPERLINK("obsidian://open?vault=o2&amp;file=peepsTemplate.md","peepsTemplate")</f>
        <v>peepsTemplate</v>
      </c>
      <c r="P866" s="11" t="s">
        <v>175</v>
      </c>
      <c r="AR866" s="11">
        <f>SUBTOTAL(3,_xlfn.SINGLE(tbl_pros[RowId]))</f>
        <v>1</v>
      </c>
    </row>
    <row r="867" spans="10:44">
      <c r="J867" s="4">
        <v>857</v>
      </c>
      <c r="K867" s="20" t="s">
        <v>89</v>
      </c>
      <c r="L867" s="2"/>
      <c r="M867" s="4">
        <v>1</v>
      </c>
      <c r="N867" s="4" t="s">
        <v>1754</v>
      </c>
      <c r="O867" s="21" t="str">
        <f>HYPERLINK("obsidian://open?vault=o2&amp;file=peepsTemplatetest1.md","peepsTemplatetest1")</f>
        <v>peepsTemplatetest1</v>
      </c>
      <c r="P867" s="11" t="s">
        <v>175</v>
      </c>
      <c r="AR867" s="11">
        <f>SUBTOTAL(3,_xlfn.SINGLE(tbl_pros[RowId]))</f>
        <v>1</v>
      </c>
    </row>
    <row r="868" spans="10:44">
      <c r="J868" s="4">
        <v>858</v>
      </c>
      <c r="K868" s="20" t="s">
        <v>90</v>
      </c>
      <c r="L868" s="2"/>
      <c r="M868" s="4">
        <v>1</v>
      </c>
      <c r="N868" s="4" t="s">
        <v>1755</v>
      </c>
      <c r="O868" s="21" t="str">
        <f>HYPERLINK("obsidian://open?vault=o2&amp;file=peepsTemplatetest1.md","peepsTemplatetest1")</f>
        <v>peepsTemplatetest1</v>
      </c>
      <c r="P868" s="11" t="s">
        <v>175</v>
      </c>
      <c r="AR868" s="11">
        <f>SUBTOTAL(3,_xlfn.SINGLE(tbl_pros[RowId]))</f>
        <v>1</v>
      </c>
    </row>
    <row r="869" spans="10:44">
      <c r="J869" s="4">
        <v>859</v>
      </c>
      <c r="K869" s="20" t="s">
        <v>91</v>
      </c>
      <c r="L869" s="2"/>
      <c r="M869" s="4">
        <v>1</v>
      </c>
      <c r="N869" s="4" t="s">
        <v>1756</v>
      </c>
      <c r="O869" s="21" t="str">
        <f>HYPERLINK("obsidian://open?vault=o2&amp;file=peepsTemplatetest1.md","peepsTemplatetest1")</f>
        <v>peepsTemplatetest1</v>
      </c>
      <c r="P869" s="11" t="s">
        <v>175</v>
      </c>
      <c r="AR869" s="11">
        <f>SUBTOTAL(3,_xlfn.SINGLE(tbl_pros[RowId]))</f>
        <v>1</v>
      </c>
    </row>
    <row r="870" spans="10:44">
      <c r="J870" s="4">
        <v>860</v>
      </c>
      <c r="K870" s="20" t="s">
        <v>92</v>
      </c>
      <c r="L870" s="2"/>
      <c r="M870" s="4">
        <v>1</v>
      </c>
      <c r="N870" s="4" t="s">
        <v>1757</v>
      </c>
      <c r="O870" s="21" t="str">
        <f>HYPERLINK("obsidian://open?vault=o2&amp;file=peepsTemplatetest1.md","peepsTemplatetest1")</f>
        <v>peepsTemplatetest1</v>
      </c>
      <c r="P870" s="11" t="s">
        <v>175</v>
      </c>
      <c r="AR870" s="11">
        <f>SUBTOTAL(3,_xlfn.SINGLE(tbl_pros[RowId]))</f>
        <v>1</v>
      </c>
    </row>
    <row r="871" spans="10:44">
      <c r="J871" s="4">
        <v>861</v>
      </c>
      <c r="K871" s="20" t="s">
        <v>93</v>
      </c>
      <c r="L871" s="2"/>
      <c r="M871" s="4">
        <v>2</v>
      </c>
      <c r="N871" s="4" t="s">
        <v>1758</v>
      </c>
      <c r="O871" s="21" t="str">
        <f>HYPERLINK("obsidian://open?vault=o2&amp;file=peepsTemplate.md","peepsTemplate")</f>
        <v>peepsTemplate</v>
      </c>
      <c r="P871" s="11" t="s">
        <v>175</v>
      </c>
      <c r="Q871" s="21" t="str">
        <f>HYPERLINK("obsidian://open?vault=o2&amp;file=peepsTemplatetest1.md","peepsTemplatetest1")</f>
        <v>peepsTemplatetest1</v>
      </c>
      <c r="R871" s="11" t="s">
        <v>175</v>
      </c>
      <c r="AR871" s="11">
        <f>SUBTOTAL(3,_xlfn.SINGLE(tbl_pros[RowId]))</f>
        <v>1</v>
      </c>
    </row>
    <row r="872" spans="10:44">
      <c r="J872" s="4">
        <v>862</v>
      </c>
      <c r="K872" s="20" t="s">
        <v>94</v>
      </c>
      <c r="L872" s="2" t="s">
        <v>1759</v>
      </c>
      <c r="M872" s="4">
        <v>1</v>
      </c>
      <c r="N872" s="4" t="s">
        <v>1760</v>
      </c>
      <c r="O872" s="21" t="str">
        <f>HYPERLINK("obsidian://open?vault=o2&amp;file=peepsTemplatetest1.md","peepsTemplatetest1")</f>
        <v>peepsTemplatetest1</v>
      </c>
      <c r="P872" s="11" t="s">
        <v>175</v>
      </c>
      <c r="AR872" s="11">
        <f>SUBTOTAL(3,_xlfn.SINGLE(tbl_pros[RowId]))</f>
        <v>1</v>
      </c>
    </row>
    <row r="873" spans="10:44">
      <c r="J873" s="4">
        <v>863</v>
      </c>
      <c r="K873" s="20" t="s">
        <v>94</v>
      </c>
      <c r="L873" s="2" t="s">
        <v>1761</v>
      </c>
      <c r="M873" s="4">
        <v>1</v>
      </c>
      <c r="N873" s="4" t="s">
        <v>1762</v>
      </c>
      <c r="O873" s="21" t="str">
        <f>HYPERLINK("obsidian://open?vault=o2&amp;file=peepsTemplate.md","peepsTemplate")</f>
        <v>peepsTemplate</v>
      </c>
      <c r="P873" s="11" t="s">
        <v>175</v>
      </c>
      <c r="AR873" s="11">
        <f>SUBTOTAL(3,_xlfn.SINGLE(tbl_pros[RowId]))</f>
        <v>1</v>
      </c>
    </row>
    <row r="874" spans="10:44">
      <c r="J874" s="4">
        <v>864</v>
      </c>
      <c r="K874" s="20" t="s">
        <v>95</v>
      </c>
      <c r="L874" s="2"/>
      <c r="M874" s="4">
        <v>1</v>
      </c>
      <c r="N874" s="4" t="s">
        <v>1763</v>
      </c>
      <c r="O874" s="21" t="str">
        <f>HYPERLINK("obsidian://open?vault=o2&amp;file=peepsTemplatetest1.md","peepsTemplatetest1")</f>
        <v>peepsTemplatetest1</v>
      </c>
      <c r="P874" s="11" t="s">
        <v>175</v>
      </c>
      <c r="AR874" s="11">
        <f>SUBTOTAL(3,_xlfn.SINGLE(tbl_pros[RowId]))</f>
        <v>1</v>
      </c>
    </row>
    <row r="875" spans="10:44">
      <c r="J875" s="4">
        <v>865</v>
      </c>
      <c r="K875" s="20" t="s">
        <v>96</v>
      </c>
      <c r="L875" s="2"/>
      <c r="M875" s="4">
        <v>2</v>
      </c>
      <c r="N875" s="4" t="s">
        <v>1764</v>
      </c>
      <c r="O875" s="21" t="str">
        <f>HYPERLINK("obsidian://open?vault=o2&amp;file=peepsTemplate.md","peepsTemplate")</f>
        <v>peepsTemplate</v>
      </c>
      <c r="P875" s="11" t="s">
        <v>175</v>
      </c>
      <c r="Q875" s="21" t="str">
        <f>HYPERLINK("obsidian://open?vault=o2&amp;file=peepsTemplatetest1.md","peepsTemplatetest1")</f>
        <v>peepsTemplatetest1</v>
      </c>
      <c r="R875" s="11" t="s">
        <v>175</v>
      </c>
      <c r="AR875" s="11">
        <f>SUBTOTAL(3,_xlfn.SINGLE(tbl_pros[RowId]))</f>
        <v>1</v>
      </c>
    </row>
    <row r="876" spans="10:44">
      <c r="J876" s="4">
        <v>866</v>
      </c>
      <c r="K876" s="20" t="s">
        <v>97</v>
      </c>
      <c r="L876" s="2"/>
      <c r="M876" s="4">
        <v>2</v>
      </c>
      <c r="N876" s="4" t="s">
        <v>1765</v>
      </c>
      <c r="O876" s="21" t="str">
        <f>HYPERLINK("obsidian://open?vault=o2&amp;file=peepsTemplate.md","peepsTemplate")</f>
        <v>peepsTemplate</v>
      </c>
      <c r="P876" s="11" t="s">
        <v>175</v>
      </c>
      <c r="Q876" s="21" t="str">
        <f>HYPERLINK("obsidian://open?vault=o2&amp;file=peepsTemplatetest1.md","peepsTemplatetest1")</f>
        <v>peepsTemplatetest1</v>
      </c>
      <c r="R876" s="11" t="s">
        <v>175</v>
      </c>
      <c r="AR876" s="11">
        <f>SUBTOTAL(3,_xlfn.SINGLE(tbl_pros[RowId]))</f>
        <v>1</v>
      </c>
    </row>
    <row r="877" spans="10:44">
      <c r="J877" s="4">
        <v>867</v>
      </c>
      <c r="K877" s="20" t="s">
        <v>98</v>
      </c>
      <c r="L877" s="2"/>
      <c r="M877" s="4">
        <v>2</v>
      </c>
      <c r="N877" s="4" t="s">
        <v>1766</v>
      </c>
      <c r="O877" s="21" t="str">
        <f>HYPERLINK("obsidian://open?vault=o2&amp;file=peepsTemplate.md","peepsTemplate")</f>
        <v>peepsTemplate</v>
      </c>
      <c r="P877" s="11" t="s">
        <v>175</v>
      </c>
      <c r="Q877" s="21" t="str">
        <f>HYPERLINK("obsidian://open?vault=o2&amp;file=peepsTemplatetest1.md","peepsTemplatetest1")</f>
        <v>peepsTemplatetest1</v>
      </c>
      <c r="R877" s="11" t="s">
        <v>175</v>
      </c>
      <c r="AR877" s="11">
        <f>SUBTOTAL(3,_xlfn.SINGLE(tbl_pros[RowId]))</f>
        <v>1</v>
      </c>
    </row>
    <row r="878" spans="10:44">
      <c r="J878" s="4">
        <v>868</v>
      </c>
      <c r="K878" s="20" t="s">
        <v>99</v>
      </c>
      <c r="L878" s="2"/>
      <c r="M878" s="4">
        <v>2</v>
      </c>
      <c r="N878" s="4" t="s">
        <v>1767</v>
      </c>
      <c r="O878" s="21" t="str">
        <f>HYPERLINK("obsidian://open?vault=o2&amp;file=peepsTemplate.md","peepsTemplate")</f>
        <v>peepsTemplate</v>
      </c>
      <c r="P878" s="11" t="s">
        <v>175</v>
      </c>
      <c r="Q878" s="21" t="str">
        <f>HYPERLINK("obsidian://open?vault=o2&amp;file=peepsTemplatetest1.md","peepsTemplatetest1")</f>
        <v>peepsTemplatetest1</v>
      </c>
      <c r="R878" s="11" t="s">
        <v>175</v>
      </c>
      <c r="AR878" s="11">
        <f>SUBTOTAL(3,_xlfn.SINGLE(tbl_pros[RowId]))</f>
        <v>1</v>
      </c>
    </row>
    <row r="879" spans="10:44">
      <c r="J879" s="4">
        <v>869</v>
      </c>
      <c r="K879" s="20" t="s">
        <v>100</v>
      </c>
      <c r="L879" s="2"/>
      <c r="M879" s="4">
        <v>2</v>
      </c>
      <c r="N879" s="4" t="s">
        <v>1768</v>
      </c>
      <c r="O879" s="21" t="str">
        <f>HYPERLINK("obsidian://open?vault=o2&amp;file=peepsTemplate.md","peepsTemplate")</f>
        <v>peepsTemplate</v>
      </c>
      <c r="P879" s="11" t="s">
        <v>175</v>
      </c>
      <c r="Q879" s="21" t="str">
        <f>HYPERLINK("obsidian://open?vault=o2&amp;file=peepsTemplatetest1.md","peepsTemplatetest1")</f>
        <v>peepsTemplatetest1</v>
      </c>
      <c r="R879" s="11" t="s">
        <v>175</v>
      </c>
      <c r="AR879" s="11">
        <f>SUBTOTAL(3,_xlfn.SINGLE(tbl_pros[RowId]))</f>
        <v>1</v>
      </c>
    </row>
    <row r="880" spans="10:44">
      <c r="J880" s="4">
        <v>870</v>
      </c>
      <c r="K880" s="20" t="s">
        <v>101</v>
      </c>
      <c r="L880" s="2"/>
      <c r="M880" s="4">
        <v>1</v>
      </c>
      <c r="N880" s="4" t="s">
        <v>1769</v>
      </c>
      <c r="O880" s="21" t="str">
        <f>HYPERLINK("obsidian://open?vault=o2&amp;file=peepsTemplatetest1.md","peepsTemplatetest1")</f>
        <v>peepsTemplatetest1</v>
      </c>
      <c r="P880" s="11" t="s">
        <v>175</v>
      </c>
      <c r="AR880" s="11">
        <f>SUBTOTAL(3,_xlfn.SINGLE(tbl_pros[RowId]))</f>
        <v>1</v>
      </c>
    </row>
    <row r="881" spans="10:44">
      <c r="J881" s="4">
        <v>871</v>
      </c>
      <c r="K881" s="20" t="s">
        <v>102</v>
      </c>
      <c r="L881" s="2"/>
      <c r="M881" s="4">
        <v>2</v>
      </c>
      <c r="N881" s="4" t="s">
        <v>1770</v>
      </c>
      <c r="O881" s="21" t="str">
        <f t="shared" ref="O881:O886" si="19">HYPERLINK("obsidian://open?vault=o2&amp;file=peepsTemplate.md","peepsTemplate")</f>
        <v>peepsTemplate</v>
      </c>
      <c r="P881" s="11" t="s">
        <v>175</v>
      </c>
      <c r="Q881" s="21" t="str">
        <f>HYPERLINK("obsidian://open?vault=o2&amp;file=peepsTemplatetest1.md","peepsTemplatetest1")</f>
        <v>peepsTemplatetest1</v>
      </c>
      <c r="R881" s="11" t="s">
        <v>175</v>
      </c>
      <c r="AR881" s="11">
        <f>SUBTOTAL(3,_xlfn.SINGLE(tbl_pros[RowId]))</f>
        <v>1</v>
      </c>
    </row>
    <row r="882" spans="10:44">
      <c r="J882" s="4">
        <v>872</v>
      </c>
      <c r="K882" s="20" t="s">
        <v>103</v>
      </c>
      <c r="L882" s="2"/>
      <c r="M882" s="4">
        <v>2</v>
      </c>
      <c r="N882" s="4" t="s">
        <v>1771</v>
      </c>
      <c r="O882" s="21" t="str">
        <f t="shared" si="19"/>
        <v>peepsTemplate</v>
      </c>
      <c r="P882" s="11" t="s">
        <v>175</v>
      </c>
      <c r="Q882" s="21" t="str">
        <f>HYPERLINK("obsidian://open?vault=o2&amp;file=peepsTemplatetest1.md","peepsTemplatetest1")</f>
        <v>peepsTemplatetest1</v>
      </c>
      <c r="R882" s="11" t="s">
        <v>175</v>
      </c>
      <c r="AR882" s="11">
        <f>SUBTOTAL(3,_xlfn.SINGLE(tbl_pros[RowId]))</f>
        <v>1</v>
      </c>
    </row>
    <row r="883" spans="10:44">
      <c r="J883" s="4">
        <v>873</v>
      </c>
      <c r="K883" s="20" t="s">
        <v>104</v>
      </c>
      <c r="L883" s="2" t="s">
        <v>1772</v>
      </c>
      <c r="M883" s="4">
        <v>2</v>
      </c>
      <c r="N883" s="4" t="s">
        <v>1773</v>
      </c>
      <c r="O883" s="21" t="str">
        <f t="shared" si="19"/>
        <v>peepsTemplate</v>
      </c>
      <c r="P883" s="11" t="s">
        <v>175</v>
      </c>
      <c r="Q883" s="21" t="str">
        <f>HYPERLINK("obsidian://open?vault=o2&amp;file=peepsTemplatetest1.md","peepsTemplatetest1")</f>
        <v>peepsTemplatetest1</v>
      </c>
      <c r="R883" s="11" t="s">
        <v>175</v>
      </c>
      <c r="AR883" s="11">
        <f>SUBTOTAL(3,_xlfn.SINGLE(tbl_pros[RowId]))</f>
        <v>1</v>
      </c>
    </row>
    <row r="884" spans="10:44">
      <c r="J884" s="4">
        <v>874</v>
      </c>
      <c r="K884" s="20" t="s">
        <v>105</v>
      </c>
      <c r="L884" s="2" t="s">
        <v>1774</v>
      </c>
      <c r="M884" s="4">
        <v>2</v>
      </c>
      <c r="N884" s="4" t="s">
        <v>1775</v>
      </c>
      <c r="O884" s="21" t="str">
        <f t="shared" si="19"/>
        <v>peepsTemplate</v>
      </c>
      <c r="P884" s="11" t="s">
        <v>175</v>
      </c>
      <c r="Q884" s="21" t="str">
        <f>HYPERLINK("obsidian://open?vault=o2&amp;file=peepsTemplatetest1.md","peepsTemplatetest1")</f>
        <v>peepsTemplatetest1</v>
      </c>
      <c r="R884" s="11" t="s">
        <v>175</v>
      </c>
      <c r="AR884" s="11">
        <f>SUBTOTAL(3,_xlfn.SINGLE(tbl_pros[RowId]))</f>
        <v>1</v>
      </c>
    </row>
    <row r="885" spans="10:44">
      <c r="J885" s="4">
        <v>875</v>
      </c>
      <c r="K885" s="20" t="s">
        <v>106</v>
      </c>
      <c r="L885" s="2" t="s">
        <v>1776</v>
      </c>
      <c r="M885" s="4">
        <v>2</v>
      </c>
      <c r="N885" s="4" t="s">
        <v>1777</v>
      </c>
      <c r="O885" s="21" t="str">
        <f t="shared" si="19"/>
        <v>peepsTemplate</v>
      </c>
      <c r="P885" s="11" t="s">
        <v>175</v>
      </c>
      <c r="Q885" s="21" t="str">
        <f>HYPERLINK("obsidian://open?vault=o2&amp;file=peepsTemplatetest1.md","peepsTemplatetest1")</f>
        <v>peepsTemplatetest1</v>
      </c>
      <c r="R885" s="11" t="s">
        <v>175</v>
      </c>
      <c r="AR885" s="11">
        <f>SUBTOTAL(3,_xlfn.SINGLE(tbl_pros[RowId]))</f>
        <v>1</v>
      </c>
    </row>
    <row r="886" spans="10:44">
      <c r="J886" s="4">
        <v>876</v>
      </c>
      <c r="K886" s="20" t="s">
        <v>107</v>
      </c>
      <c r="L886" s="2"/>
      <c r="M886" s="4">
        <v>1</v>
      </c>
      <c r="N886" s="4" t="s">
        <v>1778</v>
      </c>
      <c r="O886" s="21" t="str">
        <f t="shared" si="19"/>
        <v>peepsTemplate</v>
      </c>
      <c r="P886" s="11" t="s">
        <v>175</v>
      </c>
      <c r="AR886" s="11">
        <f>SUBTOTAL(3,_xlfn.SINGLE(tbl_pros[RowId]))</f>
        <v>1</v>
      </c>
    </row>
    <row r="887" spans="10:44">
      <c r="J887" s="4">
        <v>877</v>
      </c>
      <c r="K887" s="20" t="s">
        <v>108</v>
      </c>
      <c r="L887" s="2"/>
      <c r="M887" s="4">
        <v>1</v>
      </c>
      <c r="N887" s="4" t="s">
        <v>1779</v>
      </c>
      <c r="O887" s="21" t="str">
        <f>HYPERLINK("obsidian://open?vault=o2&amp;file=peepsTemplatetest1.md","peepsTemplatetest1")</f>
        <v>peepsTemplatetest1</v>
      </c>
      <c r="P887" s="11" t="s">
        <v>175</v>
      </c>
      <c r="AR887" s="11">
        <f>SUBTOTAL(3,_xlfn.SINGLE(tbl_pros[RowId]))</f>
        <v>1</v>
      </c>
    </row>
    <row r="888" spans="10:44">
      <c r="J888" s="4">
        <v>878</v>
      </c>
      <c r="K888" s="20" t="s">
        <v>109</v>
      </c>
      <c r="L888" s="2"/>
      <c r="M888" s="4">
        <v>2</v>
      </c>
      <c r="N888" s="4" t="s">
        <v>1780</v>
      </c>
      <c r="O888" s="21" t="str">
        <f>HYPERLINK("obsidian://open?vault=o2&amp;file=peepsTemplate.md","peepsTemplate")</f>
        <v>peepsTemplate</v>
      </c>
      <c r="P888" s="11" t="s">
        <v>175</v>
      </c>
      <c r="Q888" s="21" t="str">
        <f>HYPERLINK("obsidian://open?vault=o2&amp;file=peepsTemplatetest1.md","peepsTemplatetest1")</f>
        <v>peepsTemplatetest1</v>
      </c>
      <c r="R888" s="11" t="s">
        <v>175</v>
      </c>
      <c r="AR888" s="11">
        <f>SUBTOTAL(3,_xlfn.SINGLE(tbl_pros[RowId]))</f>
        <v>1</v>
      </c>
    </row>
    <row r="889" spans="10:44">
      <c r="J889" s="4">
        <v>879</v>
      </c>
      <c r="K889" s="20" t="s">
        <v>110</v>
      </c>
      <c r="L889" s="2"/>
      <c r="M889" s="4">
        <v>1</v>
      </c>
      <c r="N889" s="4" t="s">
        <v>1781</v>
      </c>
      <c r="O889" s="21" t="str">
        <f>HYPERLINK("obsidian://open?vault=o2&amp;file=peepsTemplatetest1.md","peepsTemplatetest1")</f>
        <v>peepsTemplatetest1</v>
      </c>
      <c r="P889" s="11" t="s">
        <v>175</v>
      </c>
      <c r="AR889" s="11">
        <f>SUBTOTAL(3,_xlfn.SINGLE(tbl_pros[RowId]))</f>
        <v>1</v>
      </c>
    </row>
    <row r="890" spans="10:44">
      <c r="J890" s="4">
        <v>880</v>
      </c>
      <c r="K890" s="20" t="s">
        <v>111</v>
      </c>
      <c r="L890" s="2" t="s">
        <v>1782</v>
      </c>
      <c r="M890" s="4">
        <v>2</v>
      </c>
      <c r="N890" s="4" t="s">
        <v>1783</v>
      </c>
      <c r="O890" s="21" t="str">
        <f>HYPERLINK("obsidian://open?vault=o2&amp;file=peepsTemplate.md","peepsTemplate")</f>
        <v>peepsTemplate</v>
      </c>
      <c r="P890" s="11" t="s">
        <v>175</v>
      </c>
      <c r="Q890" s="21" t="str">
        <f>HYPERLINK("obsidian://open?vault=o2&amp;file=peepsTemplatetest1.md","peepsTemplatetest1")</f>
        <v>peepsTemplatetest1</v>
      </c>
      <c r="R890" s="11" t="s">
        <v>175</v>
      </c>
      <c r="AR890" s="11">
        <f>SUBTOTAL(3,_xlfn.SINGLE(tbl_pros[RowId]))</f>
        <v>1</v>
      </c>
    </row>
    <row r="891" spans="10:44">
      <c r="J891" s="4">
        <v>881</v>
      </c>
      <c r="K891" s="20" t="s">
        <v>112</v>
      </c>
      <c r="L891" s="2"/>
      <c r="M891" s="4">
        <v>1</v>
      </c>
      <c r="N891" s="4" t="s">
        <v>1784</v>
      </c>
      <c r="O891" s="21" t="str">
        <f>HYPERLINK("obsidian://open?vault=o2&amp;file=peepsTemplatetest1.md","peepsTemplatetest1")</f>
        <v>peepsTemplatetest1</v>
      </c>
      <c r="P891" s="11" t="s">
        <v>175</v>
      </c>
      <c r="AR891" s="11">
        <f>SUBTOTAL(3,_xlfn.SINGLE(tbl_pros[RowId]))</f>
        <v>1</v>
      </c>
    </row>
    <row r="892" spans="10:44">
      <c r="J892" s="4">
        <v>882</v>
      </c>
      <c r="K892" s="20" t="s">
        <v>113</v>
      </c>
      <c r="L892" s="2"/>
      <c r="M892" s="4">
        <v>1</v>
      </c>
      <c r="N892" s="4" t="s">
        <v>1785</v>
      </c>
      <c r="O892" s="21" t="str">
        <f>HYPERLINK("obsidian://open?vault=o2&amp;file=peepsTemplatetest1.md","peepsTemplatetest1")</f>
        <v>peepsTemplatetest1</v>
      </c>
      <c r="P892" s="11" t="s">
        <v>175</v>
      </c>
      <c r="AR892" s="11">
        <f>SUBTOTAL(3,_xlfn.SINGLE(tbl_pros[RowId]))</f>
        <v>1</v>
      </c>
    </row>
    <row r="893" spans="10:44">
      <c r="J893" s="4">
        <v>883</v>
      </c>
      <c r="K893" s="20" t="s">
        <v>114</v>
      </c>
      <c r="L893" s="2"/>
      <c r="M893" s="4">
        <v>1</v>
      </c>
      <c r="N893" s="4" t="s">
        <v>1786</v>
      </c>
      <c r="O893" s="21" t="str">
        <f>HYPERLINK("obsidian://open?vault=o2&amp;file=peepsTemplatetest1.md","peepsTemplatetest1")</f>
        <v>peepsTemplatetest1</v>
      </c>
      <c r="P893" s="11" t="s">
        <v>175</v>
      </c>
      <c r="AR893" s="11">
        <f>SUBTOTAL(3,_xlfn.SINGLE(tbl_pros[RowId]))</f>
        <v>1</v>
      </c>
    </row>
    <row r="894" spans="10:44">
      <c r="J894" s="4">
        <v>884</v>
      </c>
      <c r="K894" s="20" t="s">
        <v>115</v>
      </c>
      <c r="L894" s="2"/>
      <c r="M894" s="4">
        <v>1</v>
      </c>
      <c r="N894" s="4" t="s">
        <v>1787</v>
      </c>
      <c r="O894" s="21" t="str">
        <f>HYPERLINK("obsidian://open?vault=o2&amp;file=peepsTemplatetest1.md","peepsTemplatetest1")</f>
        <v>peepsTemplatetest1</v>
      </c>
      <c r="P894" s="11" t="s">
        <v>175</v>
      </c>
      <c r="AR894" s="11">
        <f>SUBTOTAL(3,_xlfn.SINGLE(tbl_pros[RowId]))</f>
        <v>1</v>
      </c>
    </row>
    <row r="895" spans="10:44">
      <c r="J895" s="4">
        <v>885</v>
      </c>
      <c r="K895" s="20" t="s">
        <v>116</v>
      </c>
      <c r="L895" s="2"/>
      <c r="M895" s="4">
        <v>1</v>
      </c>
      <c r="N895" s="4" t="s">
        <v>1788</v>
      </c>
      <c r="O895" s="21" t="str">
        <f>HYPERLINK("obsidian://open?vault=o2&amp;file=peepsTemplatetest1.md","peepsTemplatetest1")</f>
        <v>peepsTemplatetest1</v>
      </c>
      <c r="P895" s="11" t="s">
        <v>175</v>
      </c>
      <c r="AR895" s="11">
        <f>SUBTOTAL(3,_xlfn.SINGLE(tbl_pros[RowId]))</f>
        <v>1</v>
      </c>
    </row>
    <row r="896" spans="10:44">
      <c r="J896" s="4">
        <v>886</v>
      </c>
      <c r="K896" s="20" t="s">
        <v>117</v>
      </c>
      <c r="L896" s="2" t="s">
        <v>1789</v>
      </c>
      <c r="M896" s="4">
        <v>1</v>
      </c>
      <c r="N896" s="4" t="s">
        <v>1790</v>
      </c>
      <c r="O896" s="21" t="str">
        <f>HYPERLINK("obsidian://open?vault=o2&amp;file=2022-M07.md","2022-M07")</f>
        <v>2022-M07</v>
      </c>
      <c r="P896" s="11" t="s">
        <v>175</v>
      </c>
      <c r="AR896" s="11">
        <f>SUBTOTAL(3,_xlfn.SINGLE(tbl_pros[RowId]))</f>
        <v>1</v>
      </c>
    </row>
    <row r="897" spans="10:44">
      <c r="J897" s="4">
        <v>887</v>
      </c>
      <c r="K897" s="20" t="s">
        <v>117</v>
      </c>
      <c r="L897" s="2" t="s">
        <v>1791</v>
      </c>
      <c r="M897" s="4">
        <v>1</v>
      </c>
      <c r="N897" s="4" t="s">
        <v>1792</v>
      </c>
      <c r="O897" s="21" t="str">
        <f>HYPERLINK("obsidian://open?vault=o2&amp;file=2022-Q3.md","2022-Q3")</f>
        <v>2022-Q3</v>
      </c>
      <c r="P897" s="11" t="s">
        <v>175</v>
      </c>
      <c r="AR897" s="11">
        <f>SUBTOTAL(3,_xlfn.SINGLE(tbl_pros[RowId]))</f>
        <v>1</v>
      </c>
    </row>
    <row r="898" spans="10:44">
      <c r="J898" s="4">
        <v>888</v>
      </c>
      <c r="K898" s="20" t="s">
        <v>117</v>
      </c>
      <c r="L898" s="2" t="s">
        <v>1793</v>
      </c>
      <c r="M898" s="4">
        <v>1</v>
      </c>
      <c r="N898" s="4" t="s">
        <v>1794</v>
      </c>
      <c r="O898" s="21" t="str">
        <f>HYPERLINK("obsidian://open?vault=o2&amp;file=2022-W28.md","2022-W28")</f>
        <v>2022-W28</v>
      </c>
      <c r="P898" s="11" t="s">
        <v>175</v>
      </c>
      <c r="AR898" s="11">
        <f>SUBTOTAL(3,_xlfn.SINGLE(tbl_pros[RowId]))</f>
        <v>1</v>
      </c>
    </row>
    <row r="899" spans="10:44">
      <c r="J899" s="4">
        <v>889</v>
      </c>
      <c r="K899" s="20" t="s">
        <v>117</v>
      </c>
      <c r="L899" s="2" t="s">
        <v>1795</v>
      </c>
      <c r="M899" s="4">
        <v>1</v>
      </c>
      <c r="N899" s="4" t="s">
        <v>1796</v>
      </c>
      <c r="O899" s="21" t="str">
        <f>HYPERLINK("obsidian://open?vault=o2&amp;file=2022.md","2022")</f>
        <v>2022</v>
      </c>
      <c r="P899" s="11" t="s">
        <v>175</v>
      </c>
      <c r="AR899" s="11">
        <f>SUBTOTAL(3,_xlfn.SINGLE(tbl_pros[RowId]))</f>
        <v>1</v>
      </c>
    </row>
    <row r="900" spans="10:44">
      <c r="J900" s="4">
        <v>890</v>
      </c>
      <c r="K900" s="20" t="s">
        <v>117</v>
      </c>
      <c r="L900" s="2" t="s">
        <v>1797</v>
      </c>
      <c r="M900" s="4">
        <v>1</v>
      </c>
      <c r="N900" s="4" t="s">
        <v>1798</v>
      </c>
      <c r="O900" s="21" t="str">
        <f>HYPERLINK("obsidian://open?vault=o2&amp;file=2024-Q4.md","2024-Q4")</f>
        <v>2024-Q4</v>
      </c>
      <c r="P900" s="11" t="s">
        <v>175</v>
      </c>
      <c r="AR900" s="11">
        <f>SUBTOTAL(3,_xlfn.SINGLE(tbl_pros[RowId]))</f>
        <v>1</v>
      </c>
    </row>
    <row r="901" spans="10:44">
      <c r="J901" s="4">
        <v>891</v>
      </c>
      <c r="K901" s="20" t="s">
        <v>118</v>
      </c>
      <c r="L901" s="2" t="s">
        <v>1799</v>
      </c>
      <c r="M901" s="4">
        <v>2</v>
      </c>
      <c r="N901" s="4" t="s">
        <v>1800</v>
      </c>
      <c r="O901" s="21" t="str">
        <f>HYPERLINK("obsidian://open?vault=o2&amp;file=Firefox%20Privacy%20Settings.md","Firefox Privacy Settings")</f>
        <v>Firefox Privacy Settings</v>
      </c>
      <c r="P901" s="11" t="s">
        <v>175</v>
      </c>
      <c r="Q901" s="21" t="str">
        <f>HYPERLINK("obsidian://open?vault=o2&amp;file=Firefox%20Privacy%20Settings.md","Firefox Privacy Settings")</f>
        <v>Firefox Privacy Settings</v>
      </c>
      <c r="R901" s="11" t="s">
        <v>175</v>
      </c>
      <c r="AR901" s="11">
        <f>SUBTOTAL(3,_xlfn.SINGLE(tbl_pros[RowId]))</f>
        <v>1</v>
      </c>
    </row>
    <row r="902" spans="10:44">
      <c r="J902" s="4">
        <v>892</v>
      </c>
      <c r="K902" s="20" t="s">
        <v>118</v>
      </c>
      <c r="L902" s="2" t="s">
        <v>1474</v>
      </c>
      <c r="M902" s="4">
        <v>1</v>
      </c>
      <c r="N902" s="4" t="s">
        <v>1801</v>
      </c>
      <c r="O902" s="21" t="str">
        <f>HYPERLINK("obsidian://open?vault=o2&amp;file=Setup%20Certificate.md","Setup Certificate")</f>
        <v>Setup Certificate</v>
      </c>
      <c r="P902" s="11" t="s">
        <v>175</v>
      </c>
      <c r="AR902" s="11">
        <f>SUBTOTAL(3,_xlfn.SINGLE(tbl_pros[RowId]))</f>
        <v>1</v>
      </c>
    </row>
    <row r="903" spans="10:44">
      <c r="J903" s="4">
        <v>893</v>
      </c>
      <c r="K903" s="20" t="s">
        <v>118</v>
      </c>
      <c r="L903" s="2" t="s">
        <v>1802</v>
      </c>
      <c r="M903" s="4">
        <v>2</v>
      </c>
      <c r="N903" s="4" t="s">
        <v>1803</v>
      </c>
      <c r="O903" s="21" t="str">
        <f>HYPERLINK("obsidian://open?vault=o2&amp;file=Learn%20Python%20in%20Y%20Minutes.md","Learn Python in Y Minutes")</f>
        <v>Learn Python in Y Minutes</v>
      </c>
      <c r="P903" s="11" t="s">
        <v>175</v>
      </c>
      <c r="Q903" s="21" t="str">
        <f>HYPERLINK("obsidian://open?vault=o2&amp;file=%F0%9F%92%A1%20Color%20Study%20for%20OpenPyXl%20and%20v_chk.md","💡 Color Study for OpenPyXl and v_chk")</f>
        <v>💡 Color Study for OpenPyXl and v_chk</v>
      </c>
      <c r="R903" s="11" t="s">
        <v>175</v>
      </c>
      <c r="AR903" s="11">
        <f>SUBTOTAL(3,_xlfn.SINGLE(tbl_pros[RowId]))</f>
        <v>1</v>
      </c>
    </row>
    <row r="904" spans="10:44">
      <c r="J904" s="4">
        <v>894</v>
      </c>
      <c r="K904" s="20" t="s">
        <v>118</v>
      </c>
      <c r="L904" s="2" t="s">
        <v>1804</v>
      </c>
      <c r="M904" s="4">
        <v>1</v>
      </c>
      <c r="N904" s="4" t="s">
        <v>1805</v>
      </c>
      <c r="O904" s="21" t="str">
        <f>HYPERLINK("obsidian://open?vault=o2&amp;file=Notes%20on%20Python%20Class%20Objects.md","Notes on Python Class Objects")</f>
        <v>Notes on Python Class Objects</v>
      </c>
      <c r="P904" s="11" t="s">
        <v>175</v>
      </c>
      <c r="AR904" s="11">
        <f>SUBTOTAL(3,_xlfn.SINGLE(tbl_pros[RowId]))</f>
        <v>1</v>
      </c>
    </row>
    <row r="905" spans="10:44">
      <c r="J905" s="4">
        <v>895</v>
      </c>
      <c r="K905" s="20" t="s">
        <v>118</v>
      </c>
      <c r="L905" s="2" t="s">
        <v>1641</v>
      </c>
      <c r="M905" s="4">
        <v>45</v>
      </c>
      <c r="N905" s="4" t="s">
        <v>1806</v>
      </c>
      <c r="O905" s="21" t="str">
        <f>HYPERLINK("obsidian://open?vault=o2&amp;file=10th%20Step%20Homework.md","10th Step Homework")</f>
        <v>10th Step Homework</v>
      </c>
      <c r="P905" s="11" t="s">
        <v>175</v>
      </c>
      <c r="Q905" s="21" t="str">
        <f>HYPERLINK("obsidian://open?vault=o2&amp;file=Evergreen%20Notes.md","Evergreen Notes")</f>
        <v>Evergreen Notes</v>
      </c>
      <c r="R905" s="11" t="s">
        <v>175</v>
      </c>
      <c r="S905" s="21" t="str">
        <f>HYPERLINK("obsidian://open?vault=o2&amp;file=John%27s%20Second%20Brain%20Subvault.md","John's Second Brain Subvault")</f>
        <v>John's Second Brain Subvault</v>
      </c>
      <c r="T905" s="11" t="s">
        <v>175</v>
      </c>
      <c r="U905" s="21" t="str">
        <f>HYPERLINK("obsidian://open?vault=o2&amp;file=Maintain%20notes%20that%20you%20revisit.md","Maintain notes that you revisit")</f>
        <v>Maintain notes that you revisit</v>
      </c>
      <c r="V905" s="11" t="s">
        <v>175</v>
      </c>
      <c r="W905" s="21" t="str">
        <f>HYPERLINK("obsidian://open?vault=o2&amp;file=Managing%20and%20growing%20evergreen%20notes.md","Managing and growing evergreen notes")</f>
        <v>Managing and growing evergreen notes</v>
      </c>
      <c r="X905" s="11" t="s">
        <v>175</v>
      </c>
      <c r="Y905" s="21" t="str">
        <f>HYPERLINK("obsidian://open?vault=o2&amp;file=Managing%20appearance%20and%20theme.md","Managing appearance and theme")</f>
        <v>Managing appearance and theme</v>
      </c>
      <c r="Z905" s="11" t="s">
        <v>175</v>
      </c>
      <c r="AA905" s="21" t="str">
        <f>HYPERLINK("obsidian://open?vault=o2&amp;file=Managing%20inputs.md","Managing inputs")</f>
        <v>Managing inputs</v>
      </c>
      <c r="AB905" s="11" t="s">
        <v>175</v>
      </c>
      <c r="AC905" s="21" t="str">
        <f>HYPERLINK("obsidian://open?vault=o2&amp;file=see%20people.md","see people")</f>
        <v>see people</v>
      </c>
      <c r="AD905" s="11" t="s">
        <v>175</v>
      </c>
      <c r="AE905" s="21" t="str">
        <f>HYPERLINK("obsidian://open?vault=o2&amp;file=Setting%20up%20periodic%20notes.md","Setting up periodic notes")</f>
        <v>Setting up periodic notes</v>
      </c>
      <c r="AF905" s="11" t="s">
        <v>175</v>
      </c>
      <c r="AG905" s="21" t="str">
        <f>HYPERLINK("obsidian://open?vault=o2&amp;file=Template%20Debrief.md","Template Debrief")</f>
        <v>Template Debrief</v>
      </c>
      <c r="AH905" s="11" t="s">
        <v>175</v>
      </c>
      <c r="AI905" s="21" t="str">
        <f>HYPERLINK("obsidian://open?vault=o2&amp;file=testing%20gevents%20offset.md","testing gevents offset")</f>
        <v>testing gevents offset</v>
      </c>
      <c r="AJ905" s="11" t="s">
        <v>175</v>
      </c>
      <c r="AK905" s="21" t="str">
        <f>HYPERLINK("obsidian://open?vault=o2&amp;file=Turning%20notes%20into%20content.md","Turning notes into content")</f>
        <v>Turning notes into content</v>
      </c>
      <c r="AL905" s="11" t="s">
        <v>175</v>
      </c>
      <c r="AM905" s="21" t="str">
        <f>HYPERLINK("obsidian://open?vault=o2&amp;file=Vault%20Overview.md","Vault Overview")</f>
        <v>Vault Overview</v>
      </c>
      <c r="AN905" s="11" t="s">
        <v>175</v>
      </c>
      <c r="AO905" s="21" t="str">
        <f>HYPERLINK("obsidian://open?vault=o2&amp;file=_start_here.md","_start_here")</f>
        <v>_start_here</v>
      </c>
      <c r="AP905" s="11" t="s">
        <v>175</v>
      </c>
      <c r="AQ905" s="21" t="str">
        <f>HYPERLINK("obsidian://open?vault=o2&amp;file=%F0%9F%93%A5%20Konik%20Method%20for%20Making%20Useful%20Notes.md","📥 Konik Method for Making Useful Notes")</f>
        <v>📥 Konik Method for Making Useful Notes</v>
      </c>
      <c r="AR905" s="11">
        <f>SUBTOTAL(3,_xlfn.SINGLE(tbl_pros[RowId]))</f>
        <v>1</v>
      </c>
    </row>
    <row r="906" spans="10:44">
      <c r="J906" s="4">
        <v>896</v>
      </c>
      <c r="K906" s="20" t="s">
        <v>118</v>
      </c>
      <c r="L906" s="2" t="s">
        <v>1807</v>
      </c>
      <c r="M906" s="4">
        <v>1</v>
      </c>
      <c r="N906" s="4" t="s">
        <v>1808</v>
      </c>
      <c r="O906" s="21" t="str">
        <f>HYPERLINK("obsidian://open?vault=o2&amp;file=Money%20Moves%20for%202023.md","Money Moves for 2023")</f>
        <v>Money Moves for 2023</v>
      </c>
      <c r="P906" s="11" t="s">
        <v>175</v>
      </c>
      <c r="AR906" s="11">
        <f>SUBTOTAL(3,_xlfn.SINGLE(tbl_pros[RowId]))</f>
        <v>1</v>
      </c>
    </row>
    <row r="907" spans="10:44">
      <c r="J907" s="4">
        <v>897</v>
      </c>
      <c r="K907" s="20" t="s">
        <v>118</v>
      </c>
      <c r="L907" s="2" t="s">
        <v>1558</v>
      </c>
      <c r="M907" s="4">
        <v>1</v>
      </c>
      <c r="N907" s="4" t="s">
        <v>1809</v>
      </c>
      <c r="O907" s="21" t="str">
        <f>HYPERLINK("obsidian://open?vault=o2&amp;file=cPanel%20Alternatives.md","cPanel Alternatives")</f>
        <v>cPanel Alternatives</v>
      </c>
      <c r="P907" s="11" t="s">
        <v>175</v>
      </c>
      <c r="AR907" s="11">
        <f>SUBTOTAL(3,_xlfn.SINGLE(tbl_pros[RowId]))</f>
        <v>1</v>
      </c>
    </row>
    <row r="908" spans="10:44">
      <c r="J908" s="4">
        <v>898</v>
      </c>
      <c r="K908" s="20" t="s">
        <v>118</v>
      </c>
      <c r="L908" s="2" t="s">
        <v>1494</v>
      </c>
      <c r="M908" s="4">
        <v>1</v>
      </c>
      <c r="N908" s="4" t="s">
        <v>1810</v>
      </c>
      <c r="O908" s="21" t="str">
        <f>HYPERLINK("obsidian://open?vault=o2&amp;file=InboxNote%20Template.md","InboxNote Template")</f>
        <v>InboxNote Template</v>
      </c>
      <c r="P908" s="11" t="s">
        <v>175</v>
      </c>
      <c r="AR908" s="11">
        <f>SUBTOTAL(3,_xlfn.SINGLE(tbl_pros[RowId]))</f>
        <v>1</v>
      </c>
    </row>
    <row r="909" spans="10:44">
      <c r="J909" s="4">
        <v>899</v>
      </c>
      <c r="K909" s="20" t="s">
        <v>118</v>
      </c>
      <c r="L909" s="2" t="s">
        <v>1811</v>
      </c>
      <c r="M909" s="4">
        <v>1</v>
      </c>
      <c r="N909" s="4" t="s">
        <v>1812</v>
      </c>
      <c r="O909" s="21" t="str">
        <f>HYPERLINK("obsidian://open?vault=o2&amp;file=%F0%9F%92%A1%20Rebirth%20CWS.md","💡 Rebirth CWS")</f>
        <v>💡 Rebirth CWS</v>
      </c>
      <c r="P909" s="11" t="s">
        <v>175</v>
      </c>
      <c r="AR909" s="11">
        <f>SUBTOTAL(3,_xlfn.SINGLE(tbl_pros[RowId]))</f>
        <v>1</v>
      </c>
    </row>
    <row r="910" spans="10:44">
      <c r="J910" s="4">
        <v>900</v>
      </c>
      <c r="K910" s="20" t="s">
        <v>118</v>
      </c>
      <c r="L910" s="2" t="s">
        <v>1813</v>
      </c>
      <c r="M910" s="4">
        <v>1</v>
      </c>
      <c r="N910" s="4" t="s">
        <v>1814</v>
      </c>
      <c r="O910" s="21" t="str">
        <f>HYPERLINK("obsidian://open?vault=o2&amp;file=Chrome%20Built-In%20Hotkeys.md","Chrome Built-In Hotkeys")</f>
        <v>Chrome Built-In Hotkeys</v>
      </c>
      <c r="P910" s="11" t="s">
        <v>175</v>
      </c>
      <c r="AR910" s="11">
        <f>SUBTOTAL(3,_xlfn.SINGLE(tbl_pros[RowId]))</f>
        <v>1</v>
      </c>
    </row>
    <row r="911" spans="10:44">
      <c r="J911" s="4">
        <v>901</v>
      </c>
      <c r="K911" s="20" t="s">
        <v>119</v>
      </c>
      <c r="L911" s="22">
        <v>44885</v>
      </c>
      <c r="M911" s="4">
        <v>1</v>
      </c>
      <c r="N911" s="4" t="s">
        <v>1815</v>
      </c>
      <c r="O911" s="21" t="str">
        <f>HYPERLINK("obsidian://open?vault=o2&amp;file=How%20I%20Would%20Learn%20Obsidian%20MD%20%28If%20I%20could%20start%20over%29.md","How I Would Learn Obsidian MD (If I could start over)")</f>
        <v>How I Would Learn Obsidian MD (If I could start over)</v>
      </c>
      <c r="P911" s="11" t="s">
        <v>175</v>
      </c>
      <c r="AR911" s="11">
        <f>SUBTOTAL(3,_xlfn.SINGLE(tbl_pros[RowId]))</f>
        <v>1</v>
      </c>
    </row>
    <row r="912" spans="10:44">
      <c r="J912" s="4">
        <v>902</v>
      </c>
      <c r="K912" s="20" t="s">
        <v>119</v>
      </c>
      <c r="L912" s="22">
        <v>45002</v>
      </c>
      <c r="M912" s="4">
        <v>1</v>
      </c>
      <c r="N912" s="4" t="s">
        <v>1816</v>
      </c>
      <c r="O912" s="21" t="str">
        <f>HYPERLINK("obsidian://open?vault=o2&amp;file=20%20AMAZING%20Art%20Workspace%20Hacks%20%28FREE%20or%20cheap%21%29.md","20 AMAZING Art Workspace Hacks (FREE or cheap!)")</f>
        <v>20 AMAZING Art Workspace Hacks (FREE or cheap!)</v>
      </c>
      <c r="P912" s="11" t="s">
        <v>175</v>
      </c>
      <c r="AR912" s="11">
        <f>SUBTOTAL(3,_xlfn.SINGLE(tbl_pros[RowId]))</f>
        <v>1</v>
      </c>
    </row>
    <row r="913" spans="10:44">
      <c r="J913" s="4">
        <v>903</v>
      </c>
      <c r="K913" s="20" t="s">
        <v>119</v>
      </c>
      <c r="L913" s="23">
        <v>45625.122337962966</v>
      </c>
      <c r="M913" s="4">
        <v>1</v>
      </c>
      <c r="N913" s="4" t="s">
        <v>1817</v>
      </c>
      <c r="O913" s="21" t="str">
        <f>HYPERLINK("obsidian://open?vault=o2&amp;file=22%20FREE%20Windows%20Utilities%20EVERY%20User%20MUST%20Know%20About%21.md","22 FREE Windows Utilities EVERY User MUST Know About!")</f>
        <v>22 FREE Windows Utilities EVERY User MUST Know About!</v>
      </c>
      <c r="P913" s="11" t="s">
        <v>175</v>
      </c>
      <c r="AR913" s="11">
        <f>SUBTOTAL(3,_xlfn.SINGLE(tbl_pros[RowId]))</f>
        <v>1</v>
      </c>
    </row>
    <row r="914" spans="10:44">
      <c r="J914" s="4">
        <v>904</v>
      </c>
      <c r="K914" s="20" t="s">
        <v>119</v>
      </c>
      <c r="L914" s="22">
        <v>44942</v>
      </c>
      <c r="M914" s="4">
        <v>1</v>
      </c>
      <c r="N914" s="4" t="s">
        <v>1818</v>
      </c>
      <c r="O914" s="21" t="str">
        <f>HYPERLINK("obsidian://open?vault=o2&amp;file=8%20Easy%20Food%20Plating%20Hacks%20That%20Will%20Blow%20You%20Away.md","8 Easy Food Plating Hacks That Will Blow You Away")</f>
        <v>8 Easy Food Plating Hacks That Will Blow You Away</v>
      </c>
      <c r="P914" s="11" t="s">
        <v>175</v>
      </c>
      <c r="AR914" s="11">
        <f>SUBTOTAL(3,_xlfn.SINGLE(tbl_pros[RowId]))</f>
        <v>1</v>
      </c>
    </row>
    <row r="915" spans="10:44">
      <c r="J915" s="4">
        <v>905</v>
      </c>
      <c r="K915" s="20" t="s">
        <v>119</v>
      </c>
      <c r="L915" s="23">
        <v>44923.250069444453</v>
      </c>
      <c r="M915" s="4">
        <v>1</v>
      </c>
      <c r="N915" s="4" t="s">
        <v>1819</v>
      </c>
      <c r="O915" s="21" t="str">
        <f>HYPERLINK("obsidian://open?vault=o2&amp;file=Architects%205%20Step%20Desk%20Setup%20Makeover.md","Architects 5 Step Desk Setup Makeover")</f>
        <v>Architects 5 Step Desk Setup Makeover</v>
      </c>
      <c r="P915" s="11" t="s">
        <v>175</v>
      </c>
      <c r="AR915" s="11">
        <f>SUBTOTAL(3,_xlfn.SINGLE(tbl_pros[RowId]))</f>
        <v>1</v>
      </c>
    </row>
    <row r="916" spans="10:44">
      <c r="J916" s="4">
        <v>906</v>
      </c>
      <c r="K916" s="20" t="s">
        <v>119</v>
      </c>
      <c r="L916" s="22">
        <v>44185</v>
      </c>
      <c r="M916" s="4">
        <v>1</v>
      </c>
      <c r="N916" s="4" t="s">
        <v>1820</v>
      </c>
      <c r="O916" s="21" t="str">
        <f>HYPERLINK("obsidian://open?vault=o2&amp;file=Better%20Than%20Grandmas%20Dinner%21%20My%20Parents%20Were%20Stunned%20After%20Trying%20It%21%21%21.md","Better Than Grandmas Dinner! My Parents Were Stunned After Trying It!!!")</f>
        <v>Better Than Grandmas Dinner! My Parents Were Stunned After Trying It!!!</v>
      </c>
      <c r="P916" s="11" t="s">
        <v>175</v>
      </c>
      <c r="AR916" s="11">
        <f>SUBTOTAL(3,_xlfn.SINGLE(tbl_pros[RowId]))</f>
        <v>1</v>
      </c>
    </row>
    <row r="917" spans="10:44">
      <c r="J917" s="4">
        <v>907</v>
      </c>
      <c r="K917" s="20" t="s">
        <v>119</v>
      </c>
      <c r="L917" s="22">
        <v>44941</v>
      </c>
      <c r="M917" s="4">
        <v>1</v>
      </c>
      <c r="N917" s="4" t="s">
        <v>1821</v>
      </c>
      <c r="O917"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P917" s="11" t="s">
        <v>175</v>
      </c>
      <c r="AR917" s="11">
        <f>SUBTOTAL(3,_xlfn.SINGLE(tbl_pros[RowId]))</f>
        <v>1</v>
      </c>
    </row>
    <row r="918" spans="10:44">
      <c r="J918" s="4">
        <v>908</v>
      </c>
      <c r="K918" s="20" t="s">
        <v>119</v>
      </c>
      <c r="L918" s="22">
        <v>44024</v>
      </c>
      <c r="M918" s="4">
        <v>1</v>
      </c>
      <c r="N918" s="4" t="s">
        <v>1822</v>
      </c>
      <c r="O918" s="21" t="str">
        <f>HYPERLINK("obsidian://open?vault=o2&amp;file=Flat%20Icon%20and%20Shadow%20Using%20The%20Blend%20Tool%20In%20Adobe%20Illustrator.md","Flat Icon and Shadow Using The Blend Tool In Adobe Illustrator")</f>
        <v>Flat Icon and Shadow Using The Blend Tool In Adobe Illustrator</v>
      </c>
      <c r="P918" s="11" t="s">
        <v>175</v>
      </c>
      <c r="AR918" s="11">
        <f>SUBTOTAL(3,_xlfn.SINGLE(tbl_pros[RowId]))</f>
        <v>1</v>
      </c>
    </row>
    <row r="919" spans="10:44">
      <c r="J919" s="4">
        <v>909</v>
      </c>
      <c r="K919" s="20" t="s">
        <v>119</v>
      </c>
      <c r="L919" s="22">
        <v>44900</v>
      </c>
      <c r="M919" s="4">
        <v>1</v>
      </c>
      <c r="N919" s="4" t="s">
        <v>1823</v>
      </c>
      <c r="O919" s="21" t="str">
        <f>HYPERLINK("obsidian://open?vault=o2&amp;file=Free%20Lightroom%20Tutorial%20%20Adobe%20Lightroom%20Essentials%20Training%20Course.md","Free Lightroom Tutorial  Adobe Lightroom Essentials Training Course")</f>
        <v>Free Lightroom Tutorial  Adobe Lightroom Essentials Training Course</v>
      </c>
      <c r="P919" s="11" t="s">
        <v>175</v>
      </c>
      <c r="AR919" s="11">
        <f>SUBTOTAL(3,_xlfn.SINGLE(tbl_pros[RowId]))</f>
        <v>1</v>
      </c>
    </row>
    <row r="920" spans="10:44">
      <c r="J920" s="4">
        <v>910</v>
      </c>
      <c r="K920" s="20" t="s">
        <v>119</v>
      </c>
      <c r="L920" s="22">
        <v>44360</v>
      </c>
      <c r="M920" s="4">
        <v>1</v>
      </c>
      <c r="N920" s="4" t="s">
        <v>1824</v>
      </c>
      <c r="O920"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920" s="11" t="s">
        <v>175</v>
      </c>
      <c r="AR920" s="11">
        <f>SUBTOTAL(3,_xlfn.SINGLE(tbl_pros[RowId]))</f>
        <v>1</v>
      </c>
    </row>
    <row r="921" spans="10:44">
      <c r="J921" s="4">
        <v>911</v>
      </c>
      <c r="K921" s="20" t="s">
        <v>119</v>
      </c>
      <c r="L921" s="23">
        <v>45162.218055555553</v>
      </c>
      <c r="M921" s="4">
        <v>1</v>
      </c>
      <c r="N921" s="4" t="s">
        <v>1825</v>
      </c>
      <c r="O921" s="21" t="str">
        <f>HYPERLINK("obsidian://open?vault=o2&amp;file=How%20To%20Hide%20Wires%20Behind%20Wall%20-%20NO%20DRYWALL%20REPAIR%20NEEDED%20Hiding%20Wires.md","How To Hide Wires Behind Wall - NO DRYWALL REPAIR NEEDED Hiding Wires")</f>
        <v>How To Hide Wires Behind Wall - NO DRYWALL REPAIR NEEDED Hiding Wires</v>
      </c>
      <c r="P921" s="11" t="s">
        <v>175</v>
      </c>
      <c r="AR921" s="11">
        <f>SUBTOTAL(3,_xlfn.SINGLE(tbl_pros[RowId]))</f>
        <v>1</v>
      </c>
    </row>
    <row r="922" spans="10:44">
      <c r="J922" s="4">
        <v>912</v>
      </c>
      <c r="K922" s="20" t="s">
        <v>119</v>
      </c>
      <c r="L922" s="23">
        <v>45695.135416666657</v>
      </c>
      <c r="M922" s="4">
        <v>1</v>
      </c>
      <c r="N922" s="4" t="s">
        <v>1826</v>
      </c>
      <c r="O922" s="21" t="str">
        <f>HYPERLINK("obsidian://open?vault=o2&amp;file=I%20Made%20an%20App%20that%20KEEPS%20Windows%2011%20Debloated%20%26%20Optimized.md","I Made an App that KEEPS Windows 11 Debloated &amp; Optimized")</f>
        <v>I Made an App that KEEPS Windows 11 Debloated &amp; Optimized</v>
      </c>
      <c r="P922" s="11" t="s">
        <v>175</v>
      </c>
      <c r="AR922" s="11">
        <f>SUBTOTAL(3,_xlfn.SINGLE(tbl_pros[RowId]))</f>
        <v>1</v>
      </c>
    </row>
    <row r="923" spans="10:44">
      <c r="J923" s="4">
        <v>913</v>
      </c>
      <c r="K923" s="20" t="s">
        <v>119</v>
      </c>
      <c r="L923" s="23">
        <v>44632.229178240741</v>
      </c>
      <c r="M923" s="4">
        <v>1</v>
      </c>
      <c r="N923" s="4" t="s">
        <v>1827</v>
      </c>
      <c r="O923" s="21" t="str">
        <f>HYPERLINK("obsidian://open?vault=o2&amp;file=My%20Clean%2C%20Modern%20Desk%20Setup%20for%20Productivity%20%26%20Creativity.md","My Clean, Modern Desk Setup for Productivity &amp; Creativity")</f>
        <v>My Clean, Modern Desk Setup for Productivity &amp; Creativity</v>
      </c>
      <c r="P923" s="11" t="s">
        <v>175</v>
      </c>
      <c r="AR923" s="11">
        <f>SUBTOTAL(3,_xlfn.SINGLE(tbl_pros[RowId]))</f>
        <v>1</v>
      </c>
    </row>
    <row r="924" spans="10:44">
      <c r="J924" s="4">
        <v>914</v>
      </c>
      <c r="K924" s="20" t="s">
        <v>119</v>
      </c>
      <c r="L924" s="22">
        <v>44987</v>
      </c>
      <c r="M924" s="4">
        <v>1</v>
      </c>
      <c r="N924" s="4" t="s">
        <v>1828</v>
      </c>
      <c r="O924" s="21" t="str">
        <f>HYPERLINK("obsidian://open?vault=o2&amp;file=The%20Perfect%20Diane%20Sauce%20-%20Chicken%20Diane%20%20Chef%20Jean-Pierre.md","The Perfect Diane Sauce - Chicken Diane  Chef Jean-Pierre")</f>
        <v>The Perfect Diane Sauce - Chicken Diane  Chef Jean-Pierre</v>
      </c>
      <c r="P924" s="11" t="s">
        <v>175</v>
      </c>
      <c r="AR924" s="11">
        <f>SUBTOTAL(3,_xlfn.SINGLE(tbl_pros[RowId]))</f>
        <v>1</v>
      </c>
    </row>
    <row r="925" spans="10:44">
      <c r="J925" s="4">
        <v>915</v>
      </c>
      <c r="K925" s="20" t="s">
        <v>119</v>
      </c>
      <c r="L925" s="23">
        <v>45147.167187500003</v>
      </c>
      <c r="M925" s="4">
        <v>1</v>
      </c>
      <c r="N925" s="4" t="s">
        <v>1829</v>
      </c>
      <c r="O925" s="21" t="str">
        <f>HYPERLINK("obsidian://open?vault=o2&amp;file=The%20Ultimate%20Cable%20Management%20Tier%20List.md","The Ultimate Cable Management Tier List")</f>
        <v>The Ultimate Cable Management Tier List</v>
      </c>
      <c r="P925" s="11" t="s">
        <v>175</v>
      </c>
      <c r="AR925" s="11">
        <f>SUBTOTAL(3,_xlfn.SINGLE(tbl_pros[RowId]))</f>
        <v>1</v>
      </c>
    </row>
    <row r="926" spans="10:44">
      <c r="J926" s="4">
        <v>916</v>
      </c>
      <c r="K926" s="20" t="s">
        <v>119</v>
      </c>
      <c r="L926" s="23">
        <v>44847.354212962957</v>
      </c>
      <c r="M926" s="4">
        <v>1</v>
      </c>
      <c r="N926" s="4" t="s">
        <v>1830</v>
      </c>
      <c r="O926" s="21" t="str">
        <f>HYPERLINK("obsidian://open?vault=o2&amp;file=Time%20to%20UNSUBSCRIBE%20from%20Disney%2B%2C%20Netflix%2C%20etc%21.md","Time to UNSUBSCRIBE from Disney+, Netflix, etc!")</f>
        <v>Time to UNSUBSCRIBE from Disney+, Netflix, etc!</v>
      </c>
      <c r="P926" s="11" t="s">
        <v>175</v>
      </c>
      <c r="AR926" s="11">
        <f>SUBTOTAL(3,_xlfn.SINGLE(tbl_pros[RowId]))</f>
        <v>1</v>
      </c>
    </row>
    <row r="927" spans="10:44">
      <c r="J927" s="4">
        <v>917</v>
      </c>
      <c r="K927" s="20" t="s">
        <v>119</v>
      </c>
      <c r="L927" s="23">
        <v>44679.599814814806</v>
      </c>
      <c r="M927" s="4">
        <v>1</v>
      </c>
      <c r="N927" s="4" t="s">
        <v>1831</v>
      </c>
      <c r="O927"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P927" s="11" t="s">
        <v>175</v>
      </c>
      <c r="AR927" s="11">
        <f>SUBTOTAL(3,_xlfn.SINGLE(tbl_pros[RowId]))</f>
        <v>1</v>
      </c>
    </row>
    <row r="928" spans="10:44">
      <c r="J928" s="4">
        <v>918</v>
      </c>
      <c r="K928" s="20" t="s">
        <v>119</v>
      </c>
      <c r="L928" s="22">
        <v>45079</v>
      </c>
      <c r="M928" s="4">
        <v>1</v>
      </c>
      <c r="N928" s="4" t="s">
        <v>1832</v>
      </c>
      <c r="O928"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P928" s="11" t="s">
        <v>175</v>
      </c>
      <c r="AR928" s="11">
        <f>SUBTOTAL(3,_xlfn.SINGLE(tbl_pros[RowId]))</f>
        <v>1</v>
      </c>
    </row>
    <row r="929" spans="10:44">
      <c r="J929" s="4">
        <v>919</v>
      </c>
      <c r="K929" s="20" t="s">
        <v>119</v>
      </c>
      <c r="L929" s="23">
        <v>45054.291759259257</v>
      </c>
      <c r="M929" s="4">
        <v>1</v>
      </c>
      <c r="N929" s="4" t="s">
        <v>1833</v>
      </c>
      <c r="O929" s="21" t="str">
        <f>HYPERLINK("obsidian://open?vault=o2&amp;file=Windows%2010%20and%2011%20Wont%20Boot%2C%20How%20To%20Fix%20UEFI%20Partition.md","Windows 10 and 11 Wont Boot, How To Fix UEFI Partition")</f>
        <v>Windows 10 and 11 Wont Boot, How To Fix UEFI Partition</v>
      </c>
      <c r="P929" s="11" t="s">
        <v>175</v>
      </c>
      <c r="AR929" s="11">
        <f>SUBTOTAL(3,_xlfn.SINGLE(tbl_pros[RowId]))</f>
        <v>1</v>
      </c>
    </row>
    <row r="930" spans="10:44">
      <c r="J930" s="4">
        <v>920</v>
      </c>
      <c r="K930" s="20" t="s">
        <v>120</v>
      </c>
      <c r="L930" s="2" t="s">
        <v>1834</v>
      </c>
      <c r="M930" s="4">
        <v>1</v>
      </c>
      <c r="N930" s="4" t="s">
        <v>1835</v>
      </c>
      <c r="O930" s="21" t="str">
        <f>HYPERLINK("obsidian://open?vault=o2&amp;file=YTV%20Template.md","YTV Template")</f>
        <v>YTV Template</v>
      </c>
      <c r="P930" s="11" t="s">
        <v>175</v>
      </c>
      <c r="AR930" s="11">
        <f>SUBTOTAL(3,_xlfn.SINGLE(tbl_pros[RowId]))</f>
        <v>1</v>
      </c>
    </row>
    <row r="931" spans="10:44">
      <c r="J931" s="4">
        <v>921</v>
      </c>
      <c r="K931" s="20" t="s">
        <v>121</v>
      </c>
      <c r="L931" s="2" t="s">
        <v>1836</v>
      </c>
      <c r="M931" s="4">
        <v>1</v>
      </c>
      <c r="N931" s="4" t="s">
        <v>1837</v>
      </c>
      <c r="O931" s="21" t="str">
        <f>HYPERLINK("obsidian://open?vault=o2&amp;file=50%20Best%20Christmas%20Movies.md","50 Best Christmas Movies")</f>
        <v>50 Best Christmas Movies</v>
      </c>
      <c r="P931" s="11" t="s">
        <v>175</v>
      </c>
      <c r="AR931" s="11">
        <f>SUBTOTAL(3,_xlfn.SINGLE(tbl_pros[RowId]))</f>
        <v>1</v>
      </c>
    </row>
    <row r="932" spans="10:44">
      <c r="J932" s="4">
        <v>922</v>
      </c>
      <c r="K932" s="20" t="s">
        <v>121</v>
      </c>
      <c r="L932" s="2" t="s">
        <v>1838</v>
      </c>
      <c r="M932" s="4">
        <v>3</v>
      </c>
      <c r="N932" s="4" t="s">
        <v>1839</v>
      </c>
      <c r="O932" s="21" t="str">
        <f>HYPERLINK("obsidian://open?vault=o2&amp;file=Eveline.md","Eveline")</f>
        <v>Eveline</v>
      </c>
      <c r="P932" s="11" t="s">
        <v>175</v>
      </c>
      <c r="Q932" s="21" t="str">
        <f>HYPERLINK("obsidian://open?vault=o2&amp;file=Wikipedia%20Portal%20Literature.md","Wikipedia Portal Literature")</f>
        <v>Wikipedia Portal Literature</v>
      </c>
      <c r="R932" s="11" t="s">
        <v>175</v>
      </c>
      <c r="S932" s="21" t="str">
        <f>HYPERLINK("obsidian://open?vault=o2&amp;file=My%20PARA.md","My PARA")</f>
        <v>My PARA</v>
      </c>
      <c r="T932" s="11" t="s">
        <v>175</v>
      </c>
      <c r="AR932" s="11">
        <f>SUBTOTAL(3,_xlfn.SINGLE(tbl_pros[RowId]))</f>
        <v>1</v>
      </c>
    </row>
    <row r="933" spans="10:44">
      <c r="J933" s="4">
        <v>923</v>
      </c>
      <c r="K933" s="20" t="s">
        <v>121</v>
      </c>
      <c r="L933" s="2" t="s">
        <v>1840</v>
      </c>
      <c r="M933" s="4">
        <v>4</v>
      </c>
      <c r="N933" s="4" t="s">
        <v>1841</v>
      </c>
      <c r="O933" s="21" t="str">
        <f>HYPERLINK("obsidian://open?vault=o2&amp;file=Secure%20Remote%20Access.md","Secure Remote Access")</f>
        <v>Secure Remote Access</v>
      </c>
      <c r="P933" s="11" t="s">
        <v>175</v>
      </c>
      <c r="Q933" s="21" t="str">
        <f>HYPERLINK("obsidian://open?vault=o2&amp;file=%F0%9F%93%A5%20Konik%20Method%20for%20Making%20Useful%20Notes.md","📥 Konik Method for Making Useful Notes")</f>
        <v>📥 Konik Method for Making Useful Notes</v>
      </c>
      <c r="R933" s="11" t="s">
        <v>175</v>
      </c>
      <c r="S933"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T933" s="11" t="s">
        <v>175</v>
      </c>
      <c r="U933" s="21" t="str">
        <f>HYPERLINK("obsidian://open?vault=o2&amp;file=The%20Ultimate%20Cable%20Management%20Tier%20List.md","The Ultimate Cable Management Tier List")</f>
        <v>The Ultimate Cable Management Tier List</v>
      </c>
      <c r="V933" s="11" t="s">
        <v>175</v>
      </c>
      <c r="AR933" s="11">
        <f>SUBTOTAL(3,_xlfn.SINGLE(tbl_pros[RowId]))</f>
        <v>1</v>
      </c>
    </row>
    <row r="934" spans="10:44">
      <c r="J934" s="4">
        <v>924</v>
      </c>
      <c r="K934" s="20" t="s">
        <v>121</v>
      </c>
      <c r="L934" s="2" t="s">
        <v>1842</v>
      </c>
      <c r="M934" s="4">
        <v>4</v>
      </c>
      <c r="N934" s="4" t="s">
        <v>1843</v>
      </c>
      <c r="O934" s="21" t="str">
        <f>HYPERLINK("obsidian://open?vault=o2&amp;file=The%20Food%20Expiration%20Dates%20You%20Should%20Actually%20Follow.md","The Food Expiration Dates You Should Actually Follow")</f>
        <v>The Food Expiration Dates You Should Actually Follow</v>
      </c>
      <c r="P934" s="11" t="s">
        <v>175</v>
      </c>
      <c r="Q934" s="21" t="str">
        <f>HYPERLINK("obsidian://open?vault=o2&amp;file=How%20to%20Make%20Changes%20to%20Multiple%20Files%20Using%20Python%20%20Envato%20Tuts%2B.md","How to Make Changes to Multiple Files Using Python  Envato Tuts+")</f>
        <v>How to Make Changes to Multiple Files Using Python  Envato Tuts+</v>
      </c>
      <c r="R934" s="11" t="s">
        <v>175</v>
      </c>
      <c r="S934" s="21" t="str">
        <f>HYPERLINK("obsidian://open?vault=o2&amp;file=The%20Growing%20Link%20Between%20Microbes%2C%20Mood%20and%20Mental%20Health.md","The Growing Link Between Microbes, Mood and Mental Health")</f>
        <v>The Growing Link Between Microbes, Mood and Mental Health</v>
      </c>
      <c r="T934" s="11" t="s">
        <v>175</v>
      </c>
      <c r="U934" s="21" t="str">
        <f>HYPERLINK("obsidian://open?vault=o2&amp;file=obsidian-scraper.md","obsidian-scraper")</f>
        <v>obsidian-scraper</v>
      </c>
      <c r="V934" s="11" t="s">
        <v>175</v>
      </c>
      <c r="AR934" s="11">
        <f>SUBTOTAL(3,_xlfn.SINGLE(tbl_pros[RowId]))</f>
        <v>1</v>
      </c>
    </row>
    <row r="935" spans="10:44">
      <c r="J935" s="4">
        <v>925</v>
      </c>
      <c r="K935" s="20" t="s">
        <v>121</v>
      </c>
      <c r="L935" s="2" t="s">
        <v>1844</v>
      </c>
      <c r="M935" s="4">
        <v>2</v>
      </c>
      <c r="N935" s="4" t="s">
        <v>1845</v>
      </c>
      <c r="O935" s="21" t="str">
        <f>HYPERLINK("obsidian://open?vault=o2&amp;file=%F0%9F%92%A1%20Youtube%20and%20long%20title%20note%20automation.md","💡 Youtube and long title note automation")</f>
        <v>💡 Youtube and long title note automation</v>
      </c>
      <c r="P935" s="11" t="s">
        <v>175</v>
      </c>
      <c r="Q935" s="21" t="str">
        <f>HYPERLINK("obsidian://open?vault=o2&amp;file=YTV%20Template.md","YTV Template")</f>
        <v>YTV Template</v>
      </c>
      <c r="R935" s="11" t="s">
        <v>175</v>
      </c>
      <c r="AR935" s="11">
        <f>SUBTOTAL(3,_xlfn.SINGLE(tbl_pros[RowId]))</f>
        <v>1</v>
      </c>
    </row>
    <row r="936" spans="10:44">
      <c r="J936" s="4">
        <v>926</v>
      </c>
      <c r="K936" s="20" t="s">
        <v>121</v>
      </c>
      <c r="L936" s="2">
        <v>8</v>
      </c>
      <c r="M936" s="4">
        <v>2</v>
      </c>
      <c r="N936" s="4" t="s">
        <v>1846</v>
      </c>
      <c r="O936" s="21" t="str">
        <f>HYPERLINK("obsidian://open?vault=o2&amp;file=%F0%9F%93%9A%20How%20To%20Take%20Smart%20Notes.md","📚 How To Take Smart Notes")</f>
        <v>📚 How To Take Smart Notes</v>
      </c>
      <c r="P936" s="11" t="s">
        <v>175</v>
      </c>
      <c r="Q936" s="21" t="str">
        <f>HYPERLINK("obsidian://open?vault=o2&amp;file=%F0%9F%93%9A%20Johns%20Building%20a%20Second%20Brain.md","📚 Johns Building a Second Brain")</f>
        <v>📚 Johns Building a Second Brain</v>
      </c>
      <c r="R936" s="11" t="s">
        <v>175</v>
      </c>
      <c r="AR936" s="11">
        <f>SUBTOTAL(3,_xlfn.SINGLE(tbl_pros[RowId]))</f>
        <v>1</v>
      </c>
    </row>
    <row r="937" spans="10:44">
      <c r="J937" s="4">
        <v>927</v>
      </c>
      <c r="K937" s="20" t="s">
        <v>121</v>
      </c>
      <c r="L937" s="2" t="s">
        <v>1847</v>
      </c>
      <c r="M937" s="4">
        <v>2</v>
      </c>
      <c r="N937" s="4" t="s">
        <v>1848</v>
      </c>
      <c r="O937" s="21" t="str">
        <f>HYPERLINK("obsidian://open?vault=o2&amp;file=22%20FREE%20Windows%20Utilities%20EVERY%20User%20MUST%20Know%20About%21.md","22 FREE Windows Utilities EVERY User MUST Know About!")</f>
        <v>22 FREE Windows Utilities EVERY User MUST Know About!</v>
      </c>
      <c r="P937" s="11" t="s">
        <v>175</v>
      </c>
      <c r="Q937" s="21" t="str">
        <f>HYPERLINK("obsidian://open?vault=o2&amp;file=Do%20Yourself%20a%20Favor%20and%20Go%20Find%20a%20%E2%80%98Third%20Place%E2%80%99.md","Do Yourself a Favor and Go Find a ‘Third Place’")</f>
        <v>Do Yourself a Favor and Go Find a ‘Third Place’</v>
      </c>
      <c r="R937" s="11" t="s">
        <v>175</v>
      </c>
      <c r="AR937" s="11">
        <f>SUBTOTAL(3,_xlfn.SINGLE(tbl_pros[RowId]))</f>
        <v>1</v>
      </c>
    </row>
    <row r="938" spans="10:44">
      <c r="J938" s="4">
        <v>928</v>
      </c>
      <c r="K938" s="20" t="s">
        <v>121</v>
      </c>
      <c r="L938" s="2" t="s">
        <v>1849</v>
      </c>
      <c r="M938" s="4">
        <v>3</v>
      </c>
      <c r="N938" s="4" t="s">
        <v>1850</v>
      </c>
      <c r="O938" s="21" t="str">
        <f>HYPERLINK("obsidian://open?vault=o2&amp;file=Kurt%20Vonnegut%E2%80%99s%20Greatest%20Writing%20Advice.md","Kurt Vonnegut’s Greatest Writing Advice")</f>
        <v>Kurt Vonnegut’s Greatest Writing Advice</v>
      </c>
      <c r="P938" s="11" t="s">
        <v>175</v>
      </c>
      <c r="Q938" s="21" t="str">
        <f>HYPERLINK("obsidian://open?vault=o2&amp;file=Relaxation%20Techniques.md","Relaxation Techniques")</f>
        <v>Relaxation Techniques</v>
      </c>
      <c r="R938" s="11" t="s">
        <v>175</v>
      </c>
      <c r="S938" s="21" t="str">
        <f>HYPERLINK("obsidian://open?vault=o2&amp;file=Architects%205%20Step%20Desk%20Setup%20Makeover.md","Architects 5 Step Desk Setup Makeover")</f>
        <v>Architects 5 Step Desk Setup Makeover</v>
      </c>
      <c r="T938" s="11" t="s">
        <v>175</v>
      </c>
      <c r="AR938" s="11">
        <f>SUBTOTAL(3,_xlfn.SINGLE(tbl_pros[RowId]))</f>
        <v>1</v>
      </c>
    </row>
    <row r="939" spans="10:44">
      <c r="J939" s="4">
        <v>929</v>
      </c>
      <c r="K939" s="20" t="s">
        <v>121</v>
      </c>
      <c r="L939" s="2" t="s">
        <v>1851</v>
      </c>
      <c r="M939" s="4">
        <v>2</v>
      </c>
      <c r="N939" s="4" t="s">
        <v>1852</v>
      </c>
      <c r="O939" s="21" t="str">
        <f>HYPERLINK("obsidian://open?vault=o2&amp;file=My%20Clean%2C%20Modern%20Desk%20Setup%20for%20Productivity%20%26%20Creativity.md","My Clean, Modern Desk Setup for Productivity &amp; Creativity")</f>
        <v>My Clean, Modern Desk Setup for Productivity &amp; Creativity</v>
      </c>
      <c r="P939" s="11" t="s">
        <v>175</v>
      </c>
      <c r="Q939" s="21" t="str">
        <f>HYPERLINK("obsidian://open?vault=o2&amp;file=Time%20to%20UNSUBSCRIBE%20from%20Disney%2B%2C%20Netflix%2C%20etc%21.md","Time to UNSUBSCRIBE from Disney+, Netflix, etc!")</f>
        <v>Time to UNSUBSCRIBE from Disney+, Netflix, etc!</v>
      </c>
      <c r="R939" s="11" t="s">
        <v>175</v>
      </c>
      <c r="AR939" s="11">
        <f>SUBTOTAL(3,_xlfn.SINGLE(tbl_pros[RowId]))</f>
        <v>1</v>
      </c>
    </row>
    <row r="940" spans="10:44">
      <c r="J940" s="4">
        <v>930</v>
      </c>
      <c r="K940" s="14" t="s">
        <v>122</v>
      </c>
      <c r="L940" s="2" t="s">
        <v>1840</v>
      </c>
      <c r="M940" s="4">
        <v>1</v>
      </c>
      <c r="N940" s="4" t="s">
        <v>1853</v>
      </c>
      <c r="O940" s="21" t="str">
        <f>HYPERLINK("obsidian://open?vault=o2&amp;file=What%20is%20Thread%20and%20how%20will%20it%20help%20your%20smart%20home.md","What is Thread and how will it help your smart home")</f>
        <v>What is Thread and how will it help your smart home</v>
      </c>
      <c r="P940" s="11" t="s">
        <v>175</v>
      </c>
      <c r="AR940" s="11">
        <f>SUBTOTAL(3,_xlfn.SINGLE(tbl_pros[RowId]))</f>
        <v>1</v>
      </c>
    </row>
    <row r="941" spans="10:44">
      <c r="J941" s="4">
        <v>931</v>
      </c>
      <c r="K941" s="20" t="s">
        <v>123</v>
      </c>
      <c r="L941" s="2" t="s">
        <v>1580</v>
      </c>
      <c r="M941" s="4">
        <v>1</v>
      </c>
      <c r="N941" s="4" t="s">
        <v>1854</v>
      </c>
      <c r="O941" s="21" t="str">
        <f>HYPERLINK("obsidian://open?vault=o2&amp;file=%F0%9F%A6%8B%20Art.md","🦋 Art")</f>
        <v>🦋 Art</v>
      </c>
      <c r="P941" s="11" t="s">
        <v>175</v>
      </c>
      <c r="AR941" s="11">
        <f>SUBTOTAL(3,_xlfn.SINGLE(tbl_pros[RowId]))</f>
        <v>1</v>
      </c>
    </row>
    <row r="942" spans="10:44">
      <c r="J942" s="4">
        <v>932</v>
      </c>
      <c r="K942" s="20" t="s">
        <v>123</v>
      </c>
      <c r="L942" s="2" t="s">
        <v>1855</v>
      </c>
      <c r="M942" s="4">
        <v>1</v>
      </c>
      <c r="N942" s="4" t="s">
        <v>1856</v>
      </c>
      <c r="O942" s="21" t="str">
        <f>HYPERLINK("obsidian://open?vault=o2&amp;file=%F0%9F%A6%8B%20Astronomy.md","🦋 Astronomy")</f>
        <v>🦋 Astronomy</v>
      </c>
      <c r="P942" s="11" t="s">
        <v>175</v>
      </c>
      <c r="AR942" s="11">
        <f>SUBTOTAL(3,_xlfn.SINGLE(tbl_pros[RowId]))</f>
        <v>1</v>
      </c>
    </row>
    <row r="943" spans="10:44">
      <c r="J943" s="4">
        <v>933</v>
      </c>
      <c r="K943" s="20" t="s">
        <v>123</v>
      </c>
      <c r="L943" s="2" t="s">
        <v>1564</v>
      </c>
      <c r="M943" s="4">
        <v>45</v>
      </c>
      <c r="N943" s="4" t="s">
        <v>1857</v>
      </c>
      <c r="O943" s="21" t="str">
        <f>HYPERLINK("obsidian://open?vault=o2&amp;file=10th%20Step%20Homework.md","10th Step Homework")</f>
        <v>10th Step Homework</v>
      </c>
      <c r="P943" s="11" t="s">
        <v>175</v>
      </c>
      <c r="Q943" s="21" t="str">
        <f>HYPERLINK("obsidian://open?vault=o2&amp;file=Evergreen%20Notes.md","Evergreen Notes")</f>
        <v>Evergreen Notes</v>
      </c>
      <c r="R943" s="11" t="s">
        <v>175</v>
      </c>
      <c r="S943" s="21" t="str">
        <f>HYPERLINK("obsidian://open?vault=o2&amp;file=John%27s%20Second%20Brain%20Subvault.md","John's Second Brain Subvault")</f>
        <v>John's Second Brain Subvault</v>
      </c>
      <c r="T943" s="11" t="s">
        <v>175</v>
      </c>
      <c r="U943" s="21" t="str">
        <f>HYPERLINK("obsidian://open?vault=o2&amp;file=Maintain%20notes%20that%20you%20revisit.md","Maintain notes that you revisit")</f>
        <v>Maintain notes that you revisit</v>
      </c>
      <c r="V943" s="11" t="s">
        <v>175</v>
      </c>
      <c r="W943" s="21" t="str">
        <f>HYPERLINK("obsidian://open?vault=o2&amp;file=Managing%20and%20growing%20evergreen%20notes.md","Managing and growing evergreen notes")</f>
        <v>Managing and growing evergreen notes</v>
      </c>
      <c r="X943" s="11" t="s">
        <v>175</v>
      </c>
      <c r="Y943" s="21" t="str">
        <f>HYPERLINK("obsidian://open?vault=o2&amp;file=Managing%20appearance%20and%20theme.md","Managing appearance and theme")</f>
        <v>Managing appearance and theme</v>
      </c>
      <c r="Z943" s="11" t="s">
        <v>175</v>
      </c>
      <c r="AA943" s="21" t="str">
        <f>HYPERLINK("obsidian://open?vault=o2&amp;file=Managing%20inputs.md","Managing inputs")</f>
        <v>Managing inputs</v>
      </c>
      <c r="AB943" s="11" t="s">
        <v>175</v>
      </c>
      <c r="AC943" s="21" t="str">
        <f>HYPERLINK("obsidian://open?vault=o2&amp;file=My%20Hotkeys.md","My Hotkeys")</f>
        <v>My Hotkeys</v>
      </c>
      <c r="AD943" s="11" t="s">
        <v>175</v>
      </c>
      <c r="AE943" s="21" t="str">
        <f>HYPERLINK("obsidian://open?vault=o2&amp;file=see%20people.md","see people")</f>
        <v>see people</v>
      </c>
      <c r="AF943" s="11" t="s">
        <v>175</v>
      </c>
      <c r="AG943" s="21" t="str">
        <f>HYPERLINK("obsidian://open?vault=o2&amp;file=Setting%20up%20periodic%20notes.md","Setting up periodic notes")</f>
        <v>Setting up periodic notes</v>
      </c>
      <c r="AH943" s="11" t="s">
        <v>175</v>
      </c>
      <c r="AI943" s="21" t="str">
        <f>HYPERLINK("obsidian://open?vault=o2&amp;file=testing%20gevents%20offset.md","testing gevents offset")</f>
        <v>testing gevents offset</v>
      </c>
      <c r="AJ943" s="11" t="s">
        <v>175</v>
      </c>
      <c r="AK943" s="21" t="str">
        <f>HYPERLINK("obsidian://open?vault=o2&amp;file=Turning%20notes%20into%20content.md","Turning notes into content")</f>
        <v>Turning notes into content</v>
      </c>
      <c r="AL943" s="11" t="s">
        <v>175</v>
      </c>
      <c r="AM943" s="21" t="str">
        <f>HYPERLINK("obsidian://open?vault=o2&amp;file=Vault%20Overview.md","Vault Overview")</f>
        <v>Vault Overview</v>
      </c>
      <c r="AN943" s="11" t="s">
        <v>175</v>
      </c>
      <c r="AO943" s="21" t="str">
        <f>HYPERLINK("obsidian://open?vault=o2&amp;file=_start_here.md","_start_here")</f>
        <v>_start_here</v>
      </c>
      <c r="AP943" s="11" t="s">
        <v>175</v>
      </c>
      <c r="AQ943" s="21" t="str">
        <f>HYPERLINK("obsidian://open?vault=o2&amp;file=%F0%9F%93%A5%20Konik%20Method%20for%20Making%20Useful%20Notes.md","📥 Konik Method for Making Useful Notes")</f>
        <v>📥 Konik Method for Making Useful Notes</v>
      </c>
      <c r="AR943" s="11">
        <f>SUBTOTAL(3,_xlfn.SINGLE(tbl_pros[RowId]))</f>
        <v>1</v>
      </c>
    </row>
    <row r="944" spans="10:44">
      <c r="J944" s="4">
        <v>934</v>
      </c>
      <c r="K944" s="20" t="s">
        <v>123</v>
      </c>
      <c r="L944" s="2" t="s">
        <v>1858</v>
      </c>
      <c r="M944" s="4">
        <v>1</v>
      </c>
      <c r="N944" s="4" t="s">
        <v>1859</v>
      </c>
      <c r="O944" s="21" t="str">
        <f>HYPERLINK("obsidian://open?vault=o2&amp;file=%F0%9F%A6%8B%20Cheatsheets.md","🦋 Cheatsheets")</f>
        <v>🦋 Cheatsheets</v>
      </c>
      <c r="P944" s="11" t="s">
        <v>175</v>
      </c>
      <c r="AR944" s="11">
        <f>SUBTOTAL(3,_xlfn.SINGLE(tbl_pros[RowId]))</f>
        <v>1</v>
      </c>
    </row>
    <row r="945" spans="10:44">
      <c r="J945" s="4">
        <v>935</v>
      </c>
      <c r="K945" s="20" t="s">
        <v>123</v>
      </c>
      <c r="L945" s="2" t="s">
        <v>1813</v>
      </c>
      <c r="M945" s="4">
        <v>10</v>
      </c>
      <c r="N945" s="4" t="s">
        <v>1860</v>
      </c>
      <c r="O945" s="21" t="str">
        <f>HYPERLINK("obsidian://open?vault=o2&amp;file=Learn%20Python%20in%20Y%20Minutes.md","Learn Python in Y Minutes")</f>
        <v>Learn Python in Y Minutes</v>
      </c>
      <c r="P945" s="11" t="s">
        <v>175</v>
      </c>
      <c r="Q945" s="21" t="str">
        <f>HYPERLINK("obsidian://open?vault=o2&amp;file=Setup%20bash%20and%20VIM.md","Setup bash and VIM")</f>
        <v>Setup bash and VIM</v>
      </c>
      <c r="R945" s="11" t="s">
        <v>175</v>
      </c>
      <c r="S945" s="21" t="str">
        <f>HYPERLINK("obsidian://open?vault=o2&amp;file=%E2%9A%A1%20CasaOS%20Project.md","⚡ CasaOS Project")</f>
        <v>⚡ CasaOS Project</v>
      </c>
      <c r="T945" s="11" t="s">
        <v>175</v>
      </c>
      <c r="U945" s="21" t="str">
        <f>HYPERLINK("obsidian://open?vault=o2&amp;file=%E2%9A%A1%20Coding.md","⚡ Coding")</f>
        <v>⚡ Coding</v>
      </c>
      <c r="V945" s="11" t="s">
        <v>175</v>
      </c>
      <c r="W945" s="21" t="str">
        <f>HYPERLINK("obsidian://open?vault=o2&amp;file=%E2%9A%A1%20Debug%20metaCatchall%20Project.md","⚡ Debug metaCatchall Project")</f>
        <v>⚡ Debug metaCatchall Project</v>
      </c>
      <c r="X945" s="11" t="s">
        <v>175</v>
      </c>
      <c r="Y945" s="21" t="str">
        <f>HYPERLINK("obsidian://open?vault=o2&amp;file=%E2%9A%A1%20Image%20Categorization%20Project.md","⚡ Image Categorization Project")</f>
        <v>⚡ Image Categorization Project</v>
      </c>
      <c r="Z945" s="11" t="s">
        <v>175</v>
      </c>
      <c r="AA945" s="21" t="str">
        <f>HYPERLINK("obsidian://open?vault=o2&amp;file=Notes%20on%20Python%20Class%20Objects.md","Notes on Python Class Objects")</f>
        <v>Notes on Python Class Objects</v>
      </c>
      <c r="AB945" s="11" t="s">
        <v>175</v>
      </c>
      <c r="AC945" s="21" t="str">
        <f>HYPERLINK("obsidian://open?vault=o2&amp;file=%E2%9A%A1%20Learn%20Python%20and%20OOP%20Project.md","⚡ Learn Python and OOP Project")</f>
        <v>⚡ Learn Python and OOP Project</v>
      </c>
      <c r="AD945" s="11" t="s">
        <v>175</v>
      </c>
      <c r="AE945" s="21" t="str">
        <f>HYPERLINK("obsidian://open?vault=o2&amp;file=%E2%9A%A1%20Learning%20iOS%20Project.md","⚡ Learning iOS Project")</f>
        <v>⚡ Learning iOS Project</v>
      </c>
      <c r="AF945" s="11" t="s">
        <v>175</v>
      </c>
      <c r="AG945" s="21" t="str">
        <f>HYPERLINK("obsidian://open?vault=o2&amp;file=%F0%9F%A6%8B%20Coding.md","🦋 Coding")</f>
        <v>🦋 Coding</v>
      </c>
      <c r="AH945" s="11" t="s">
        <v>175</v>
      </c>
      <c r="AR945" s="11">
        <f>SUBTOTAL(3,_xlfn.SINGLE(tbl_pros[RowId]))</f>
        <v>1</v>
      </c>
    </row>
    <row r="946" spans="10:44">
      <c r="J946" s="4">
        <v>936</v>
      </c>
      <c r="K946" s="20" t="s">
        <v>123</v>
      </c>
      <c r="L946" s="2" t="s">
        <v>1861</v>
      </c>
      <c r="M946" s="4">
        <v>1</v>
      </c>
      <c r="N946" s="4" t="s">
        <v>1862</v>
      </c>
      <c r="O946" s="21" t="str">
        <f>HYPERLINK("obsidian://open?vault=o2&amp;file=%F0%9F%A6%8B%20Computers.md","🦋 Computers")</f>
        <v>🦋 Computers</v>
      </c>
      <c r="P946" s="11" t="s">
        <v>175</v>
      </c>
      <c r="AR946" s="11">
        <f>SUBTOTAL(3,_xlfn.SINGLE(tbl_pros[RowId]))</f>
        <v>1</v>
      </c>
    </row>
    <row r="947" spans="10:44">
      <c r="J947" s="4">
        <v>937</v>
      </c>
      <c r="K947" s="20" t="s">
        <v>123</v>
      </c>
      <c r="L947" s="2" t="s">
        <v>1694</v>
      </c>
      <c r="M947" s="4">
        <v>4</v>
      </c>
      <c r="N947" s="4" t="s">
        <v>1863</v>
      </c>
      <c r="O947" s="21" t="str">
        <f>HYPERLINK("obsidian://open?vault=o2&amp;file=%F0%9F%97%BA%EF%B8%8F%20Cooking%20MOC.md","🗺️ Cooking MOC")</f>
        <v>🗺️ Cooking MOC</v>
      </c>
      <c r="P947" s="11" t="s">
        <v>175</v>
      </c>
      <c r="Q947" s="21" t="str">
        <f>HYPERLINK("obsidian://open?vault=o2&amp;file=%E2%9A%A1%20Create%20a%20Recipe%20Cookbook.md","⚡ Create a Recipe Cookbook")</f>
        <v>⚡ Create a Recipe Cookbook</v>
      </c>
      <c r="R947" s="11" t="s">
        <v>175</v>
      </c>
      <c r="S947" s="21" t="str">
        <f>HYPERLINK("obsidian://open?vault=o2&amp;file=Franks%27s%20Buffallo%20Chicken%20Dip.md","Franks's Buffallo Chicken Dip")</f>
        <v>Franks's Buffallo Chicken Dip</v>
      </c>
      <c r="T947" s="11" t="s">
        <v>175</v>
      </c>
      <c r="U947" s="21" t="str">
        <f>HYPERLINK("obsidian://open?vault=o2&amp;file=%F0%9F%A6%8B%20Cooking.md","🦋 Cooking")</f>
        <v>🦋 Cooking</v>
      </c>
      <c r="V947" s="11" t="s">
        <v>175</v>
      </c>
      <c r="AR947" s="11">
        <f>SUBTOTAL(3,_xlfn.SINGLE(tbl_pros[RowId]))</f>
        <v>1</v>
      </c>
    </row>
    <row r="948" spans="10:44">
      <c r="J948" s="4">
        <v>938</v>
      </c>
      <c r="K948" s="20" t="s">
        <v>123</v>
      </c>
      <c r="L948" s="2" t="s">
        <v>1864</v>
      </c>
      <c r="M948" s="4">
        <v>1</v>
      </c>
      <c r="N948" s="4" t="s">
        <v>1865</v>
      </c>
      <c r="O948" s="21" t="str">
        <f>HYPERLINK("obsidian://open?vault=o2&amp;file=%F0%9F%A6%8B%20Design.md","🦋 Design")</f>
        <v>🦋 Design</v>
      </c>
      <c r="P948" s="11" t="s">
        <v>175</v>
      </c>
      <c r="AR948" s="11">
        <f>SUBTOTAL(3,_xlfn.SINGLE(tbl_pros[RowId]))</f>
        <v>1</v>
      </c>
    </row>
    <row r="949" spans="10:44">
      <c r="J949" s="4">
        <v>939</v>
      </c>
      <c r="K949" s="20" t="s">
        <v>123</v>
      </c>
      <c r="L949" s="2" t="s">
        <v>1866</v>
      </c>
      <c r="M949" s="4">
        <v>1</v>
      </c>
      <c r="N949" s="4" t="s">
        <v>1867</v>
      </c>
      <c r="O949" s="21" t="str">
        <f>HYPERLINK("obsidian://open?vault=o2&amp;file=%F0%9F%A6%8B%20Genealogy.md","🦋 Genealogy")</f>
        <v>🦋 Genealogy</v>
      </c>
      <c r="P949" s="11" t="s">
        <v>175</v>
      </c>
      <c r="AR949" s="11">
        <f>SUBTOTAL(3,_xlfn.SINGLE(tbl_pros[RowId]))</f>
        <v>1</v>
      </c>
    </row>
    <row r="950" spans="10:44">
      <c r="J950" s="4">
        <v>940</v>
      </c>
      <c r="K950" s="20" t="s">
        <v>123</v>
      </c>
      <c r="L950" s="2" t="s">
        <v>1868</v>
      </c>
      <c r="M950" s="4">
        <v>2</v>
      </c>
      <c r="N950" s="4" t="s">
        <v>1869</v>
      </c>
      <c r="O950" s="21" t="str">
        <f>HYPERLINK("obsidian://open?vault=o2&amp;file=%E2%9A%A1%20Home%20Project.md","⚡ Home Project")</f>
        <v>⚡ Home Project</v>
      </c>
      <c r="P950" s="11" t="s">
        <v>175</v>
      </c>
      <c r="Q950" s="21" t="str">
        <f>HYPERLINK("obsidian://open?vault=o2&amp;file=%E2%9A%A1%20Office%20Desk%20Design%20Project.md","⚡ Office Desk Design Project")</f>
        <v>⚡ Office Desk Design Project</v>
      </c>
      <c r="R950" s="11" t="s">
        <v>175</v>
      </c>
      <c r="AR950" s="11">
        <f>SUBTOTAL(3,_xlfn.SINGLE(tbl_pros[RowId]))</f>
        <v>1</v>
      </c>
    </row>
    <row r="951" spans="10:44">
      <c r="J951" s="4">
        <v>941</v>
      </c>
      <c r="K951" s="20" t="s">
        <v>123</v>
      </c>
      <c r="L951" s="2" t="s">
        <v>1645</v>
      </c>
      <c r="M951" s="4">
        <v>2</v>
      </c>
      <c r="N951" s="4" t="s">
        <v>1870</v>
      </c>
      <c r="O951" s="21" t="str">
        <f>HYPERLINK("obsidian://open?vault=o2&amp;file=%E2%9A%A1%20Media%20Project.md","⚡ Media Project")</f>
        <v>⚡ Media Project</v>
      </c>
      <c r="P951" s="11" t="s">
        <v>175</v>
      </c>
      <c r="Q951" s="21" t="str">
        <f>HYPERLINK("obsidian://open?vault=o2&amp;file=%F0%9F%A6%8B%20Media.md","🦋 Media")</f>
        <v>🦋 Media</v>
      </c>
      <c r="R951" s="11" t="s">
        <v>175</v>
      </c>
      <c r="AR951" s="11">
        <f>SUBTOTAL(3,_xlfn.SINGLE(tbl_pros[RowId]))</f>
        <v>1</v>
      </c>
    </row>
    <row r="952" spans="10:44">
      <c r="J952" s="4">
        <v>942</v>
      </c>
      <c r="K952" s="20" t="s">
        <v>123</v>
      </c>
      <c r="L952" s="2" t="s">
        <v>1871</v>
      </c>
      <c r="M952" s="4">
        <v>2</v>
      </c>
      <c r="N952" s="4" t="s">
        <v>1872</v>
      </c>
      <c r="O952" s="21" t="str">
        <f>HYPERLINK("obsidian://open?vault=o2&amp;file=MyTunes.md","MyTunes")</f>
        <v>MyTunes</v>
      </c>
      <c r="P952" s="11" t="s">
        <v>175</v>
      </c>
      <c r="Q952" s="21" t="str">
        <f>HYPERLINK("obsidian://open?vault=o2&amp;file=%F0%9F%A6%8B%20Music.md","🦋 Music")</f>
        <v>🦋 Music</v>
      </c>
      <c r="R952" s="11" t="s">
        <v>175</v>
      </c>
      <c r="AR952" s="11">
        <f>SUBTOTAL(3,_xlfn.SINGLE(tbl_pros[RowId]))</f>
        <v>1</v>
      </c>
    </row>
    <row r="953" spans="10:44">
      <c r="J953" s="4">
        <v>943</v>
      </c>
      <c r="K953" s="20" t="s">
        <v>123</v>
      </c>
      <c r="L953" s="2" t="s">
        <v>1873</v>
      </c>
      <c r="M953" s="4">
        <v>1</v>
      </c>
      <c r="N953" s="4" t="s">
        <v>1874</v>
      </c>
      <c r="O953" s="21" t="str">
        <f>HYPERLINK("obsidian://open?vault=o2&amp;file=%F0%9F%A6%8B%20Travel.md","🦋 Travel")</f>
        <v>🦋 Travel</v>
      </c>
      <c r="P953" s="11" t="s">
        <v>175</v>
      </c>
      <c r="AR953" s="11">
        <f>SUBTOTAL(3,_xlfn.SINGLE(tbl_pros[RowId]))</f>
        <v>1</v>
      </c>
    </row>
    <row r="954" spans="10:44">
      <c r="J954" s="4">
        <v>944</v>
      </c>
      <c r="K954" s="20" t="s">
        <v>123</v>
      </c>
      <c r="L954" s="2" t="s">
        <v>1492</v>
      </c>
      <c r="M954" s="4">
        <v>18</v>
      </c>
      <c r="N954" s="4" t="s">
        <v>1875</v>
      </c>
      <c r="O954" s="21" t="str">
        <f>HYPERLINK("obsidian://open?vault=o2&amp;file=%F0%9F%93%8C%20Cheatsheet%20Library%20Kanban.md","📌 Cheatsheet Library Kanban")</f>
        <v>📌 Cheatsheet Library Kanban</v>
      </c>
      <c r="P954" s="11" t="s">
        <v>175</v>
      </c>
      <c r="Q954" s="21" t="str">
        <f>HYPERLINK("obsidian://open?vault=o2&amp;file=%F0%9F%93%8C%20Debug%20metaCatchall.md","📌 Debug metaCatchall")</f>
        <v>📌 Debug metaCatchall</v>
      </c>
      <c r="R954" s="11" t="s">
        <v>175</v>
      </c>
      <c r="S954" s="21" t="str">
        <f>HYPERLINK("obsidian://open?vault=o2&amp;file=%F0%9F%93%8C%20Home%20Project%20Kanban.md","📌 Home Project Kanban")</f>
        <v>📌 Home Project Kanban</v>
      </c>
      <c r="T954" s="11" t="s">
        <v>175</v>
      </c>
      <c r="U954" s="21" t="str">
        <f>HYPERLINK("obsidian://open?vault=o2&amp;file=%F0%9F%93%8C%20Image%20Categorization%20Kanban.md","📌 Image Categorization Kanban")</f>
        <v>📌 Image Categorization Kanban</v>
      </c>
      <c r="V954" s="11" t="s">
        <v>175</v>
      </c>
      <c r="W954" s="21" t="str">
        <f>HYPERLINK("obsidian://open?vault=o2&amp;file=%F0%9F%93%8C%20Learning%20iOS%20Kanban.md","📌 Learning iOS Kanban")</f>
        <v>📌 Learning iOS Kanban</v>
      </c>
      <c r="X954" s="11" t="s">
        <v>175</v>
      </c>
      <c r="Y954" s="21" t="str">
        <f>HYPERLINK("obsidian://open?vault=o2&amp;file=%F0%9F%93%8C%20Media%20Project%20Kanban.md","📌 Media Project Kanban")</f>
        <v>📌 Media Project Kanban</v>
      </c>
      <c r="Z954" s="11" t="s">
        <v>175</v>
      </c>
      <c r="AA954" s="21" t="str">
        <f>HYPERLINK("obsidian://open?vault=o2&amp;file=%F0%9F%93%8C%20Money%20Management%20Kanban.md","📌 Money Management Kanban")</f>
        <v>📌 Money Management Kanban</v>
      </c>
      <c r="AB954" s="11" t="s">
        <v>175</v>
      </c>
      <c r="AC954" s="21" t="str">
        <f>HYPERLINK("obsidian://open?vault=o2&amp;file=%F0%9F%93%8C%20My%20Obsidian%20Kanban.md","📌 My Obsidian Kanban")</f>
        <v>📌 My Obsidian Kanban</v>
      </c>
      <c r="AD954" s="11" t="s">
        <v>175</v>
      </c>
      <c r="AE954" s="21" t="str">
        <f>HYPERLINK("obsidian://open?vault=o2&amp;file=%F0%9F%93%8C%20Obsidian%20Setup%20Kanban.md","📌 Obsidian Setup Kanban")</f>
        <v>📌 Obsidian Setup Kanban</v>
      </c>
      <c r="AF954" s="11" t="s">
        <v>175</v>
      </c>
      <c r="AG954" s="21" t="str">
        <f>HYPERLINK("obsidian://open?vault=o2&amp;file=%F0%9F%93%8C%20Office%20Desk%20Design%20Kanban.md","📌 Office Desk Design Kanban")</f>
        <v>📌 Office Desk Design Kanban</v>
      </c>
      <c r="AH954" s="11" t="s">
        <v>175</v>
      </c>
      <c r="AI954" s="21" t="str">
        <f>HYPERLINK("obsidian://open?vault=o2&amp;file=%F0%9F%93%8C%20Print%20On%20Demand%20Kanban.md","📌 Print On Demand Kanban")</f>
        <v>📌 Print On Demand Kanban</v>
      </c>
      <c r="AJ954" s="11" t="s">
        <v>175</v>
      </c>
      <c r="AK954" s="21" t="str">
        <f>HYPERLINK("obsidian://open?vault=o2&amp;file=%F0%9F%93%8C%20Recipe%20Database%20and%20Cookbook.md","📌 Recipe Database and Cookbook")</f>
        <v>📌 Recipe Database and Cookbook</v>
      </c>
      <c r="AL954" s="11" t="s">
        <v>175</v>
      </c>
      <c r="AM954" s="21" t="str">
        <f>HYPERLINK("obsidian://open?vault=o2&amp;file=%F0%9F%93%8C%20Setup%20Linode%20Server%20Kanban.md","📌 Setup Linode Server Kanban")</f>
        <v>📌 Setup Linode Server Kanban</v>
      </c>
      <c r="AN954" s="11" t="s">
        <v>175</v>
      </c>
      <c r="AO954" s="21" t="str">
        <f>HYPERLINK("obsidian://open?vault=o2&amp;file=%F0%9F%93%8C%20Sell%20House-Move.md","📌 Sell House-Move")</f>
        <v>📌 Sell House-Move</v>
      </c>
      <c r="AP954" s="11" t="s">
        <v>175</v>
      </c>
      <c r="AQ954" s="21" t="str">
        <f>HYPERLINK("obsidian://open?vault=o2&amp;file=%F0%9F%93%8C%20Create%20a%20new%20kind%20of%20note.md","📌 Create a new kind of note")</f>
        <v>📌 Create a new kind of note</v>
      </c>
      <c r="AR954" s="11">
        <f>SUBTOTAL(3,_xlfn.SINGLE(tbl_pros[RowId]))</f>
        <v>1</v>
      </c>
    </row>
    <row r="955" spans="10:44">
      <c r="J955" s="4">
        <v>945</v>
      </c>
      <c r="K955" s="20" t="s">
        <v>123</v>
      </c>
      <c r="L955" s="2" t="s">
        <v>1578</v>
      </c>
      <c r="M955" s="4">
        <v>3</v>
      </c>
      <c r="N955" s="4" t="s">
        <v>1876</v>
      </c>
      <c r="O955" s="21" t="str">
        <f>HYPERLINK("obsidian://open?vault=o2&amp;file=Wikipedia%20Portal%20Literature.md","Wikipedia Portal Literature")</f>
        <v>Wikipedia Portal Literature</v>
      </c>
      <c r="P955" s="11" t="s">
        <v>175</v>
      </c>
      <c r="Q955" s="21" t="str">
        <f>HYPERLINK("obsidian://open?vault=o2&amp;file=%F0%9F%92%A1%20Poetry%20Ideas.md","💡 Poetry Ideas")</f>
        <v>💡 Poetry Ideas</v>
      </c>
      <c r="R955" s="11" t="s">
        <v>175</v>
      </c>
      <c r="S955" s="21" t="str">
        <f>HYPERLINK("obsidian://open?vault=o2&amp;file=%F0%9F%A6%8B%20Writing.md","🦋 Writing")</f>
        <v>🦋 Writing</v>
      </c>
      <c r="T955" s="11" t="s">
        <v>175</v>
      </c>
      <c r="AR955" s="11">
        <f>SUBTOTAL(3,_xlfn.SINGLE(tbl_pros[RowId]))</f>
        <v>1</v>
      </c>
    </row>
    <row r="956" spans="10:44">
      <c r="J956" s="4">
        <v>946</v>
      </c>
      <c r="K956" s="20" t="s">
        <v>124</v>
      </c>
      <c r="L956" s="2" t="s">
        <v>1877</v>
      </c>
      <c r="M956" s="4">
        <v>1</v>
      </c>
      <c r="N956" s="4" t="s">
        <v>1878</v>
      </c>
      <c r="O956" s="21" t="str">
        <f>HYPERLINK("obsidian://open?vault=o2&amp;file=Paul%20D%20Directory%20Template%20Test.md","Paul D Directory Template Test")</f>
        <v>Paul D Directory Template Test</v>
      </c>
      <c r="P956" s="11" t="s">
        <v>175</v>
      </c>
      <c r="AR956" s="11">
        <f>SUBTOTAL(3,_xlfn.SINGLE(tbl_pros[RowId]))</f>
        <v>1</v>
      </c>
    </row>
    <row r="957" spans="10:44">
      <c r="J957" s="4">
        <v>947</v>
      </c>
      <c r="K957" s="20" t="s">
        <v>124</v>
      </c>
      <c r="L957" s="2" t="s">
        <v>1879</v>
      </c>
      <c r="M957" s="4">
        <v>1</v>
      </c>
      <c r="N957" s="4" t="s">
        <v>1880</v>
      </c>
      <c r="O957" s="21" t="str">
        <f>HYPERLINK("obsidian://open?vault=o2&amp;file=Paul%20D%20Directory%20Template.md","Paul D Directory Template")</f>
        <v>Paul D Directory Template</v>
      </c>
      <c r="P957" s="11" t="s">
        <v>175</v>
      </c>
      <c r="AR957" s="11">
        <f>SUBTOTAL(3,_xlfn.SINGLE(tbl_pros[RowId]))</f>
        <v>1</v>
      </c>
    </row>
    <row r="958" spans="10:44">
      <c r="J958" s="4">
        <v>948</v>
      </c>
      <c r="K958" s="20" t="s">
        <v>125</v>
      </c>
      <c r="L958" s="2" t="s">
        <v>1881</v>
      </c>
      <c r="M958" s="4">
        <v>1</v>
      </c>
      <c r="N958" s="4" t="s">
        <v>1882</v>
      </c>
      <c r="O958" s="21" t="str">
        <f>HYPERLINK("obsidian://open?vault=o2&amp;file=How%20to%20Create%20So%20Much%20They%20Can%E2%80%99t%20Ignore%20You.md","How to Create So Much They Can’t Ignore You")</f>
        <v>How to Create So Much They Can’t Ignore You</v>
      </c>
      <c r="P958" s="11" t="s">
        <v>175</v>
      </c>
      <c r="AR958" s="11">
        <f>SUBTOTAL(3,_xlfn.SINGLE(tbl_pros[RowId]))</f>
        <v>1</v>
      </c>
    </row>
    <row r="959" spans="10:44">
      <c r="J959" s="4">
        <v>949</v>
      </c>
      <c r="K959" s="20" t="s">
        <v>125</v>
      </c>
      <c r="L959" s="2" t="s">
        <v>1883</v>
      </c>
      <c r="M959" s="4">
        <v>1</v>
      </c>
      <c r="N959" s="4" t="s">
        <v>1884</v>
      </c>
      <c r="O959" s="21" t="str">
        <f>HYPERLINK("obsidian://open?vault=o2&amp;file=%F0%9F%93%A5%20Konik%20Method%20for%20Making%20Useful%20Notes.md","📥 Konik Method for Making Useful Notes")</f>
        <v>📥 Konik Method for Making Useful Notes</v>
      </c>
      <c r="P959" s="11" t="s">
        <v>175</v>
      </c>
      <c r="AR959" s="11">
        <f>SUBTOTAL(3,_xlfn.SINGLE(tbl_pros[RowId]))</f>
        <v>1</v>
      </c>
    </row>
    <row r="960" spans="10:44">
      <c r="J960" s="4">
        <v>950</v>
      </c>
      <c r="K960" s="20" t="s">
        <v>125</v>
      </c>
      <c r="L960" s="2" t="s">
        <v>1885</v>
      </c>
      <c r="M960" s="4">
        <v>1</v>
      </c>
      <c r="N960" s="4" t="s">
        <v>1886</v>
      </c>
      <c r="O960" s="21" t="str">
        <f>HYPERLINK("obsidian://open?vault=o2&amp;file=Install%20Nginx%20Proxy%20Manager%20on%20CasaOS.md","Install Nginx Proxy Manager on CasaOS")</f>
        <v>Install Nginx Proxy Manager on CasaOS</v>
      </c>
      <c r="P960" s="11" t="s">
        <v>175</v>
      </c>
      <c r="AR960" s="11">
        <f>SUBTOTAL(3,_xlfn.SINGLE(tbl_pros[RowId]))</f>
        <v>1</v>
      </c>
    </row>
    <row r="961" spans="10:44">
      <c r="J961" s="4">
        <v>951</v>
      </c>
      <c r="K961" s="20" t="s">
        <v>125</v>
      </c>
      <c r="L961" s="2" t="s">
        <v>1887</v>
      </c>
      <c r="M961" s="4">
        <v>1</v>
      </c>
      <c r="N961" s="4" t="s">
        <v>1888</v>
      </c>
      <c r="O961" s="21" t="str">
        <f>HYPERLINK("obsidian://open?vault=o2&amp;file=Vim%20Cheatsheet.md","Vim Cheatsheet")</f>
        <v>Vim Cheatsheet</v>
      </c>
      <c r="P961" s="11" t="s">
        <v>175</v>
      </c>
      <c r="AR961" s="11">
        <f>SUBTOTAL(3,_xlfn.SINGLE(tbl_pros[RowId]))</f>
        <v>1</v>
      </c>
    </row>
    <row r="962" spans="10:44">
      <c r="J962" s="4">
        <v>952</v>
      </c>
      <c r="K962" s="20" t="s">
        <v>125</v>
      </c>
      <c r="L962" s="2" t="s">
        <v>1889</v>
      </c>
      <c r="M962" s="4">
        <v>1</v>
      </c>
      <c r="N962" s="4" t="s">
        <v>1890</v>
      </c>
      <c r="O962"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P962" s="11" t="s">
        <v>175</v>
      </c>
      <c r="AR962" s="11">
        <f>SUBTOTAL(3,_xlfn.SINGLE(tbl_pros[RowId]))</f>
        <v>1</v>
      </c>
    </row>
    <row r="963" spans="10:44">
      <c r="J963" s="4">
        <v>953</v>
      </c>
      <c r="K963" s="20" t="s">
        <v>125</v>
      </c>
      <c r="L963" s="2" t="s">
        <v>1891</v>
      </c>
      <c r="M963" s="4">
        <v>1</v>
      </c>
      <c r="N963" s="4" t="s">
        <v>1892</v>
      </c>
      <c r="O963" s="21" t="str">
        <f>HYPERLINK("obsidian://open?vault=o2&amp;file=Obsidian%20Interface%20Menu%20-%20Cheat%20Sheet.md","Obsidian Interface Menu - Cheat Sheet")</f>
        <v>Obsidian Interface Menu - Cheat Sheet</v>
      </c>
      <c r="P963" s="11" t="s">
        <v>175</v>
      </c>
      <c r="AR963" s="11">
        <f>SUBTOTAL(3,_xlfn.SINGLE(tbl_pros[RowId]))</f>
        <v>1</v>
      </c>
    </row>
    <row r="964" spans="10:44">
      <c r="J964" s="4">
        <v>954</v>
      </c>
      <c r="K964" s="20" t="s">
        <v>125</v>
      </c>
      <c r="L964" s="2" t="s">
        <v>1893</v>
      </c>
      <c r="M964" s="4">
        <v>4</v>
      </c>
      <c r="N964" s="4" t="s">
        <v>1894</v>
      </c>
      <c r="O964" s="21" t="str">
        <f>HYPERLINK("obsidian://open?vault=o2&amp;file=Zimaboard%20Hardware%20Ports.md","Zimaboard Hardware Ports")</f>
        <v>Zimaboard Hardware Ports</v>
      </c>
      <c r="P964" s="11" t="s">
        <v>175</v>
      </c>
      <c r="Q964" s="21" t="str">
        <f>HYPERLINK("obsidian://open?vault=o2&amp;file=Templater%20Cheat%20Sheet.md","Templater Cheat Sheet")</f>
        <v>Templater Cheat Sheet</v>
      </c>
      <c r="R964" s="11" t="s">
        <v>175</v>
      </c>
      <c r="S964" s="21" t="str">
        <f>HYPERLINK("obsidian://open?vault=o2&amp;file=13%20Crucial%20Questions%20to%20Ask%20a%20Realtor%20When%20Selling.md","13 Crucial Questions to Ask a Realtor When Selling")</f>
        <v>13 Crucial Questions to Ask a Realtor When Selling</v>
      </c>
      <c r="T964" s="11" t="s">
        <v>175</v>
      </c>
      <c r="U964" s="21" t="str">
        <f>HYPERLINK("obsidian://open?vault=o2&amp;file=Relaxation%20Techniques.md","Relaxation Techniques")</f>
        <v>Relaxation Techniques</v>
      </c>
      <c r="V964" s="11" t="s">
        <v>175</v>
      </c>
      <c r="AR964" s="11">
        <f>SUBTOTAL(3,_xlfn.SINGLE(tbl_pros[RowId]))</f>
        <v>1</v>
      </c>
    </row>
    <row r="965" spans="10:44">
      <c r="J965" s="4">
        <v>955</v>
      </c>
      <c r="K965" s="20" t="s">
        <v>125</v>
      </c>
      <c r="L965" s="2" t="s">
        <v>1895</v>
      </c>
      <c r="M965" s="4">
        <v>1</v>
      </c>
      <c r="N965" s="4" t="s">
        <v>1896</v>
      </c>
      <c r="O965" s="21" t="str">
        <f>HYPERLINK("obsidian://open?vault=o2&amp;file=Fix%20Sound%20on%20Movies.md","Fix Sound on Movies")</f>
        <v>Fix Sound on Movies</v>
      </c>
      <c r="P965" s="11" t="s">
        <v>175</v>
      </c>
      <c r="AR965" s="11">
        <f>SUBTOTAL(3,_xlfn.SINGLE(tbl_pros[RowId]))</f>
        <v>1</v>
      </c>
    </row>
    <row r="966" spans="10:44">
      <c r="J966" s="4">
        <v>956</v>
      </c>
      <c r="K966" s="20" t="s">
        <v>125</v>
      </c>
      <c r="L966" s="2" t="s">
        <v>1897</v>
      </c>
      <c r="M966" s="4">
        <v>1</v>
      </c>
      <c r="N966" s="4" t="s">
        <v>1898</v>
      </c>
      <c r="O966" s="21" t="str">
        <f>HYPERLINK("obsidian://open?vault=o2&amp;file=Online%20Referral%20Request.md","Online Referral Request")</f>
        <v>Online Referral Request</v>
      </c>
      <c r="P966" s="11" t="s">
        <v>175</v>
      </c>
      <c r="AR966" s="11">
        <f>SUBTOTAL(3,_xlfn.SINGLE(tbl_pros[RowId]))</f>
        <v>1</v>
      </c>
    </row>
    <row r="967" spans="10:44">
      <c r="J967" s="4">
        <v>957</v>
      </c>
      <c r="K967" s="20" t="s">
        <v>125</v>
      </c>
      <c r="L967" s="2" t="s">
        <v>1899</v>
      </c>
      <c r="M967" s="4">
        <v>1</v>
      </c>
      <c r="N967" s="4" t="s">
        <v>1900</v>
      </c>
      <c r="O967" s="21" t="str">
        <f>HYPERLINK("obsidian://open?vault=o2&amp;file=Photo%20in%20Home%20Maintenance%20-%20Google%20Photos.md","Photo in Home Maintenance - Google Photos")</f>
        <v>Photo in Home Maintenance - Google Photos</v>
      </c>
      <c r="P967" s="11" t="s">
        <v>175</v>
      </c>
      <c r="AR967" s="11">
        <f>SUBTOTAL(3,_xlfn.SINGLE(tbl_pros[RowId]))</f>
        <v>1</v>
      </c>
    </row>
    <row r="968" spans="10:44">
      <c r="J968" s="4">
        <v>958</v>
      </c>
      <c r="K968" s="20" t="s">
        <v>125</v>
      </c>
      <c r="L968" s="2" t="s">
        <v>1901</v>
      </c>
      <c r="M968" s="4">
        <v>1</v>
      </c>
      <c r="N968" s="4" t="s">
        <v>1902</v>
      </c>
      <c r="O968" s="21" t="str">
        <f>HYPERLINK("obsidian://open?vault=o2&amp;file=Download%20amCharts%205%20-%20amCharts.md","Download amCharts 5 - amCharts")</f>
        <v>Download amCharts 5 - amCharts</v>
      </c>
      <c r="P968" s="11" t="s">
        <v>175</v>
      </c>
      <c r="AR968" s="11">
        <f>SUBTOTAL(3,_xlfn.SINGLE(tbl_pros[RowId]))</f>
        <v>1</v>
      </c>
    </row>
    <row r="969" spans="10:44">
      <c r="J969" s="4">
        <v>959</v>
      </c>
      <c r="K969" s="20" t="s">
        <v>125</v>
      </c>
      <c r="L969" s="2" t="s">
        <v>1903</v>
      </c>
      <c r="M969" s="4">
        <v>1</v>
      </c>
      <c r="N969" s="4" t="s">
        <v>1904</v>
      </c>
      <c r="O969" s="21" t="str">
        <f>HYPERLINK("obsidian://open?vault=o2&amp;file=Search%20and%20Replace%20in%20Vim.md","Search and Replace in Vim")</f>
        <v>Search and Replace in Vim</v>
      </c>
      <c r="P969" s="11" t="s">
        <v>175</v>
      </c>
      <c r="AR969" s="11">
        <f>SUBTOTAL(3,_xlfn.SINGLE(tbl_pros[RowId]))</f>
        <v>1</v>
      </c>
    </row>
    <row r="970" spans="10:44">
      <c r="J970" s="4">
        <v>960</v>
      </c>
      <c r="K970" s="20" t="s">
        <v>125</v>
      </c>
      <c r="L970" s="2" t="s">
        <v>1905</v>
      </c>
      <c r="M970" s="4">
        <v>1</v>
      </c>
      <c r="N970" s="4" t="s">
        <v>1906</v>
      </c>
      <c r="O970" s="21" t="str">
        <f>HYPERLINK("obsidian://open?vault=o2&amp;file=The%20ad%20haters%20guide%20to%20cord-cutting%20-%20TechHive.md","The ad haters guide to cord-cutting - TechHive")</f>
        <v>The ad haters guide to cord-cutting - TechHive</v>
      </c>
      <c r="P970" s="11" t="s">
        <v>175</v>
      </c>
      <c r="AR970" s="11">
        <f>SUBTOTAL(3,_xlfn.SINGLE(tbl_pros[RowId]))</f>
        <v>1</v>
      </c>
    </row>
    <row r="971" spans="10:44">
      <c r="J971" s="4">
        <v>961</v>
      </c>
      <c r="K971" s="20" t="s">
        <v>125</v>
      </c>
      <c r="L971" s="2" t="s">
        <v>1907</v>
      </c>
      <c r="M971" s="4">
        <v>1</v>
      </c>
      <c r="N971" s="4" t="s">
        <v>1908</v>
      </c>
      <c r="O971" s="21" t="str">
        <f>HYPERLINK("obsidian://open?vault=o2&amp;file=How%20to%20Disable%20IPV6.md","How to Disable IPV6")</f>
        <v>How to Disable IPV6</v>
      </c>
      <c r="P971" s="11" t="s">
        <v>175</v>
      </c>
      <c r="AR971" s="11">
        <f>SUBTOTAL(3,_xlfn.SINGLE(tbl_pros[RowId]))</f>
        <v>1</v>
      </c>
    </row>
    <row r="972" spans="10:44">
      <c r="J972" s="4">
        <v>962</v>
      </c>
      <c r="K972" s="20" t="s">
        <v>125</v>
      </c>
      <c r="L972" s="2" t="s">
        <v>1909</v>
      </c>
      <c r="M972" s="4">
        <v>1</v>
      </c>
      <c r="N972" s="4" t="s">
        <v>1910</v>
      </c>
      <c r="O972" s="21" t="str">
        <f>HYPERLINK("obsidian://open?vault=o2&amp;file=The%20Best%20Ways%20to%20Kill%20Ants%20Using%20Borax%20-%20wikiHow.md","The Best Ways to Kill Ants Using Borax - wikiHow")</f>
        <v>The Best Ways to Kill Ants Using Borax - wikiHow</v>
      </c>
      <c r="P972" s="11" t="s">
        <v>175</v>
      </c>
      <c r="AR972" s="11">
        <f>SUBTOTAL(3,_xlfn.SINGLE(tbl_pros[RowId]))</f>
        <v>1</v>
      </c>
    </row>
    <row r="973" spans="10:44">
      <c r="J973" s="4">
        <v>963</v>
      </c>
      <c r="K973" s="20" t="s">
        <v>125</v>
      </c>
      <c r="L973" s="2" t="s">
        <v>1911</v>
      </c>
      <c r="M973" s="4">
        <v>1</v>
      </c>
      <c r="N973" s="4" t="s">
        <v>1912</v>
      </c>
      <c r="O973" s="21" t="str">
        <f>HYPERLINK("obsidian://open?vault=o2&amp;file=How%20to%20text%20from%20your%20PC%20if%20you%20have%20an%20iPhone.md","How to text from your PC if you have an iPhone")</f>
        <v>How to text from your PC if you have an iPhone</v>
      </c>
      <c r="P973" s="11" t="s">
        <v>175</v>
      </c>
      <c r="AR973" s="11">
        <f>SUBTOTAL(3,_xlfn.SINGLE(tbl_pros[RowId]))</f>
        <v>1</v>
      </c>
    </row>
    <row r="974" spans="10:44">
      <c r="J974" s="4">
        <v>964</v>
      </c>
      <c r="K974" s="20" t="s">
        <v>125</v>
      </c>
      <c r="L974" s="2" t="s">
        <v>1913</v>
      </c>
      <c r="M974" s="4">
        <v>1</v>
      </c>
      <c r="N974" s="4" t="s">
        <v>1914</v>
      </c>
      <c r="O974" s="21" t="str">
        <f>HYPERLINK("obsidian://open?vault=o2&amp;file=Provider%20Search%20Results%20%20Find%20Care.md","Provider Search Results  Find Care")</f>
        <v>Provider Search Results  Find Care</v>
      </c>
      <c r="P974" s="11" t="s">
        <v>175</v>
      </c>
      <c r="AR974" s="11">
        <f>SUBTOTAL(3,_xlfn.SINGLE(tbl_pros[RowId]))</f>
        <v>1</v>
      </c>
    </row>
    <row r="975" spans="10:44">
      <c r="J975" s="4">
        <v>965</v>
      </c>
      <c r="K975" s="20" t="s">
        <v>126</v>
      </c>
      <c r="L975" s="22">
        <v>44300</v>
      </c>
      <c r="M975" s="4">
        <v>1</v>
      </c>
      <c r="N975" s="4" t="s">
        <v>1915</v>
      </c>
      <c r="O975" s="21" t="str">
        <f>HYPERLINK("obsidian://open?vault=o2&amp;file=%F0%9F%93%9A%20How%20To%20Take%20Smart%20Notes.md","📚 How To Take Smart Notes")</f>
        <v>📚 How To Take Smart Notes</v>
      </c>
      <c r="P975" s="11" t="s">
        <v>175</v>
      </c>
      <c r="AR975" s="11">
        <f>SUBTOTAL(3,_xlfn.SINGLE(tbl_pros[RowId]))</f>
        <v>1</v>
      </c>
    </row>
    <row r="976" spans="10:44">
      <c r="J976" s="4">
        <v>966</v>
      </c>
      <c r="K976" s="20" t="s">
        <v>126</v>
      </c>
      <c r="L976" s="22">
        <v>44737</v>
      </c>
      <c r="M976" s="4">
        <v>1</v>
      </c>
      <c r="N976" s="4" t="s">
        <v>1916</v>
      </c>
      <c r="O976" s="21" t="str">
        <f>HYPERLINK("obsidian://open?vault=o2&amp;file=%F0%9F%93%9A%20Johns%20Building%20a%20Second%20Brain.md","📚 Johns Building a Second Brain")</f>
        <v>📚 Johns Building a Second Brain</v>
      </c>
      <c r="P976" s="11" t="s">
        <v>175</v>
      </c>
      <c r="AR976" s="11">
        <f>SUBTOTAL(3,_xlfn.SINGLE(tbl_pros[RowId]))</f>
        <v>1</v>
      </c>
    </row>
    <row r="977" spans="10:44">
      <c r="J977" s="4">
        <v>967</v>
      </c>
      <c r="K977" s="20" t="s">
        <v>126</v>
      </c>
      <c r="L977" s="22">
        <v>44885</v>
      </c>
      <c r="M977" s="4">
        <v>1</v>
      </c>
      <c r="N977" s="4" t="s">
        <v>1917</v>
      </c>
      <c r="O977" s="21" t="str">
        <f>HYPERLINK("obsidian://open?vault=o2&amp;file=%F0%9F%93%A5%20Konik%20Method%20for%20Making%20Useful%20Notes.md","📥 Konik Method for Making Useful Notes")</f>
        <v>📥 Konik Method for Making Useful Notes</v>
      </c>
      <c r="P977" s="11" t="s">
        <v>175</v>
      </c>
      <c r="AR977" s="11">
        <f>SUBTOTAL(3,_xlfn.SINGLE(tbl_pros[RowId]))</f>
        <v>1</v>
      </c>
    </row>
    <row r="978" spans="10:44">
      <c r="J978" s="4">
        <v>968</v>
      </c>
      <c r="K978" s="20" t="s">
        <v>126</v>
      </c>
      <c r="L978" s="22">
        <v>44958</v>
      </c>
      <c r="M978" s="4">
        <v>1</v>
      </c>
      <c r="N978" s="4" t="s">
        <v>1918</v>
      </c>
      <c r="O978" s="21" t="str">
        <f>HYPERLINK("obsidian://open?vault=o2&amp;file=8%20Easy%20Food%20Plating%20Hacks%20That%20Will%20Blow%20You%20Away.md","8 Easy Food Plating Hacks That Will Blow You Away")</f>
        <v>8 Easy Food Plating Hacks That Will Blow You Away</v>
      </c>
      <c r="P978" s="11" t="s">
        <v>175</v>
      </c>
      <c r="AR978" s="11">
        <f>SUBTOTAL(3,_xlfn.SINGLE(tbl_pros[RowId]))</f>
        <v>1</v>
      </c>
    </row>
    <row r="979" spans="10:44">
      <c r="J979" s="4">
        <v>969</v>
      </c>
      <c r="K979" s="20" t="s">
        <v>126</v>
      </c>
      <c r="L979" s="22">
        <v>44961</v>
      </c>
      <c r="M979" s="4">
        <v>1</v>
      </c>
      <c r="N979" s="4" t="s">
        <v>1919</v>
      </c>
      <c r="O979" s="21" t="str">
        <f>HYPERLINK("obsidian://open?vault=o2&amp;file=Free%20Lightroom%20Tutorial%20%20Adobe%20Lightroom%20Essentials%20Training%20Course.md","Free Lightroom Tutorial  Adobe Lightroom Essentials Training Course")</f>
        <v>Free Lightroom Tutorial  Adobe Lightroom Essentials Training Course</v>
      </c>
      <c r="P979" s="11" t="s">
        <v>175</v>
      </c>
      <c r="AR979" s="11">
        <f>SUBTOTAL(3,_xlfn.SINGLE(tbl_pros[RowId]))</f>
        <v>1</v>
      </c>
    </row>
    <row r="980" spans="10:44">
      <c r="J980" s="4">
        <v>970</v>
      </c>
      <c r="K980" s="20" t="s">
        <v>126</v>
      </c>
      <c r="L980" s="22">
        <v>44967</v>
      </c>
      <c r="M980" s="4">
        <v>1</v>
      </c>
      <c r="N980" s="4" t="s">
        <v>1920</v>
      </c>
      <c r="O98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P980" s="11" t="s">
        <v>175</v>
      </c>
      <c r="AR980" s="11">
        <f>SUBTOTAL(3,_xlfn.SINGLE(tbl_pros[RowId]))</f>
        <v>1</v>
      </c>
    </row>
    <row r="981" spans="10:44">
      <c r="J981" s="4">
        <v>971</v>
      </c>
      <c r="K981" s="20" t="s">
        <v>126</v>
      </c>
      <c r="L981" s="22">
        <v>44968</v>
      </c>
      <c r="M981" s="4">
        <v>1</v>
      </c>
      <c r="N981" s="4" t="s">
        <v>1921</v>
      </c>
      <c r="O981" s="21" t="str">
        <f>HYPERLINK("obsidian://open?vault=o2&amp;file=Better%20Than%20Grandmas%20Dinner%21%20My%20Parents%20Were%20Stunned%20After%20Trying%20It%21%21%21.md","Better Than Grandmas Dinner! My Parents Were Stunned After Trying It!!!")</f>
        <v>Better Than Grandmas Dinner! My Parents Were Stunned After Trying It!!!</v>
      </c>
      <c r="P981" s="11" t="s">
        <v>175</v>
      </c>
      <c r="AR981" s="11">
        <f>SUBTOTAL(3,_xlfn.SINGLE(tbl_pros[RowId]))</f>
        <v>1</v>
      </c>
    </row>
    <row r="982" spans="10:44">
      <c r="J982" s="4">
        <v>972</v>
      </c>
      <c r="K982" s="20" t="s">
        <v>126</v>
      </c>
      <c r="L982" s="22">
        <v>44995</v>
      </c>
      <c r="M982" s="4">
        <v>1</v>
      </c>
      <c r="N982" s="4" t="s">
        <v>1922</v>
      </c>
      <c r="O982" s="21" t="str">
        <f>HYPERLINK("obsidian://open?vault=o2&amp;file=The%20Perfect%20Diane%20Sauce%20-%20Chicken%20Diane%20%20Chef%20Jean-Pierre.md","The Perfect Diane Sauce - Chicken Diane  Chef Jean-Pierre")</f>
        <v>The Perfect Diane Sauce - Chicken Diane  Chef Jean-Pierre</v>
      </c>
      <c r="P982" s="11" t="s">
        <v>175</v>
      </c>
      <c r="AR982" s="11">
        <f>SUBTOTAL(3,_xlfn.SINGLE(tbl_pros[RowId]))</f>
        <v>1</v>
      </c>
    </row>
    <row r="983" spans="10:44">
      <c r="J983" s="4">
        <v>973</v>
      </c>
      <c r="K983" s="20" t="s">
        <v>126</v>
      </c>
      <c r="L983" s="22">
        <v>44998</v>
      </c>
      <c r="M983" s="4">
        <v>1</v>
      </c>
      <c r="N983" s="4" t="s">
        <v>1923</v>
      </c>
      <c r="O983"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983" s="11" t="s">
        <v>175</v>
      </c>
      <c r="AR983" s="11">
        <f>SUBTOTAL(3,_xlfn.SINGLE(tbl_pros[RowId]))</f>
        <v>1</v>
      </c>
    </row>
    <row r="984" spans="10:44">
      <c r="J984" s="4">
        <v>974</v>
      </c>
      <c r="K984" s="20" t="s">
        <v>126</v>
      </c>
      <c r="L984" s="22">
        <v>44999</v>
      </c>
      <c r="M984" s="4">
        <v>1</v>
      </c>
      <c r="N984" s="4" t="s">
        <v>1924</v>
      </c>
      <c r="O984" s="21" t="str">
        <f>HYPERLINK("obsidian://open?vault=o2&amp;file=Flat%20Icon%20and%20Shadow%20Using%20The%20Blend%20Tool%20In%20Adobe%20Illustrator.md","Flat Icon and Shadow Using The Blend Tool In Adobe Illustrator")</f>
        <v>Flat Icon and Shadow Using The Blend Tool In Adobe Illustrator</v>
      </c>
      <c r="P984" s="11" t="s">
        <v>175</v>
      </c>
      <c r="AR984" s="11">
        <f>SUBTOTAL(3,_xlfn.SINGLE(tbl_pros[RowId]))</f>
        <v>1</v>
      </c>
    </row>
    <row r="985" spans="10:44">
      <c r="J985" s="4">
        <v>975</v>
      </c>
      <c r="K985" s="20" t="s">
        <v>126</v>
      </c>
      <c r="L985" s="22">
        <v>45194</v>
      </c>
      <c r="M985" s="4">
        <v>1</v>
      </c>
      <c r="N985" s="4" t="s">
        <v>1925</v>
      </c>
      <c r="O985"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P985" s="11" t="s">
        <v>175</v>
      </c>
      <c r="AR985" s="11">
        <f>SUBTOTAL(3,_xlfn.SINGLE(tbl_pros[RowId]))</f>
        <v>1</v>
      </c>
    </row>
    <row r="986" spans="10:44">
      <c r="J986" s="4">
        <v>976</v>
      </c>
      <c r="K986" s="20" t="s">
        <v>126</v>
      </c>
      <c r="L986" s="22">
        <v>45195</v>
      </c>
      <c r="M986" s="4">
        <v>1</v>
      </c>
      <c r="N986" s="4" t="s">
        <v>1926</v>
      </c>
      <c r="O986" s="21" t="str">
        <f>HYPERLINK("obsidian://open?vault=o2&amp;file=20%20AMAZING%20Art%20Workspace%20Hacks%20%28FREE%20or%20cheap%21%29.md","20 AMAZING Art Workspace Hacks (FREE or cheap!)")</f>
        <v>20 AMAZING Art Workspace Hacks (FREE or cheap!)</v>
      </c>
      <c r="P986" s="11" t="s">
        <v>175</v>
      </c>
      <c r="AR986" s="11">
        <f>SUBTOTAL(3,_xlfn.SINGLE(tbl_pros[RowId]))</f>
        <v>1</v>
      </c>
    </row>
    <row r="987" spans="10:44">
      <c r="J987" s="4">
        <v>977</v>
      </c>
      <c r="K987" s="20" t="s">
        <v>126</v>
      </c>
      <c r="L987" s="22">
        <v>45395</v>
      </c>
      <c r="M987" s="4">
        <v>4</v>
      </c>
      <c r="N987" s="4" t="s">
        <v>1927</v>
      </c>
      <c r="O987" s="21" t="str">
        <f>HYPERLINK("obsidian://open?vault=o2&amp;file=Architects%205%20Step%20Desk%20Setup%20Makeover.md","Architects 5 Step Desk Setup Makeover")</f>
        <v>Architects 5 Step Desk Setup Makeover</v>
      </c>
      <c r="P987" s="11" t="s">
        <v>175</v>
      </c>
      <c r="Q987" s="21" t="str">
        <f>HYPERLINK("obsidian://open?vault=o2&amp;file=How%20To%20Hide%20Wires%20Behind%20Wall%20-%20NO%20DRYWALL%20REPAIR%20NEEDED%20Hiding%20Wires.md","How To Hide Wires Behind Wall - NO DRYWALL REPAIR NEEDED Hiding Wires")</f>
        <v>How To Hide Wires Behind Wall - NO DRYWALL REPAIR NEEDED Hiding Wires</v>
      </c>
      <c r="R987" s="11" t="s">
        <v>175</v>
      </c>
      <c r="S987" s="21" t="str">
        <f>HYPERLINK("obsidian://open?vault=o2&amp;file=My%20Clean%2C%20Modern%20Desk%20Setup%20for%20Productivity%20%26%20Creativity.md","My Clean, Modern Desk Setup for Productivity &amp; Creativity")</f>
        <v>My Clean, Modern Desk Setup for Productivity &amp; Creativity</v>
      </c>
      <c r="T987" s="11" t="s">
        <v>175</v>
      </c>
      <c r="U987" s="21" t="str">
        <f>HYPERLINK("obsidian://open?vault=o2&amp;file=The%20Ultimate%20Cable%20Management%20Tier%20List.md","The Ultimate Cable Management Tier List")</f>
        <v>The Ultimate Cable Management Tier List</v>
      </c>
      <c r="V987" s="11" t="s">
        <v>175</v>
      </c>
      <c r="AR987" s="11">
        <f>SUBTOTAL(3,_xlfn.SINGLE(tbl_pros[RowId]))</f>
        <v>1</v>
      </c>
    </row>
    <row r="988" spans="10:44">
      <c r="J988" s="4">
        <v>978</v>
      </c>
      <c r="K988" s="20" t="s">
        <v>126</v>
      </c>
      <c r="L988" s="22">
        <v>45425</v>
      </c>
      <c r="M988" s="4">
        <v>1</v>
      </c>
      <c r="N988" s="4" t="s">
        <v>1928</v>
      </c>
      <c r="O988"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P988" s="11" t="s">
        <v>175</v>
      </c>
      <c r="AR988" s="11">
        <f>SUBTOTAL(3,_xlfn.SINGLE(tbl_pros[RowId]))</f>
        <v>1</v>
      </c>
    </row>
    <row r="989" spans="10:44">
      <c r="J989" s="4">
        <v>979</v>
      </c>
      <c r="K989" s="20" t="s">
        <v>126</v>
      </c>
      <c r="L989" s="22">
        <v>45602</v>
      </c>
      <c r="M989" s="4">
        <v>1</v>
      </c>
      <c r="N989" s="4" t="s">
        <v>1929</v>
      </c>
      <c r="O989" s="21" t="str">
        <f>HYPERLINK("obsidian://open?vault=o2&amp;file=Time%20to%20UNSUBSCRIBE%20from%20Disney%2B%2C%20Netflix%2C%20etc%21.md","Time to UNSUBSCRIBE from Disney+, Netflix, etc!")</f>
        <v>Time to UNSUBSCRIBE from Disney+, Netflix, etc!</v>
      </c>
      <c r="P989" s="11" t="s">
        <v>175</v>
      </c>
      <c r="AR989" s="11">
        <f>SUBTOTAL(3,_xlfn.SINGLE(tbl_pros[RowId]))</f>
        <v>1</v>
      </c>
    </row>
    <row r="990" spans="10:44">
      <c r="J990" s="4">
        <v>980</v>
      </c>
      <c r="K990" s="20" t="s">
        <v>126</v>
      </c>
      <c r="L990" s="22">
        <v>45633</v>
      </c>
      <c r="M990" s="4">
        <v>1</v>
      </c>
      <c r="N990" s="4" t="s">
        <v>1930</v>
      </c>
      <c r="O990" s="21" t="str">
        <f>HYPERLINK("obsidian://open?vault=o2&amp;file=Windows%2010%20and%2011%20Wont%20Boot%2C%20How%20To%20Fix%20UEFI%20Partition.md","Windows 10 and 11 Wont Boot, How To Fix UEFI Partition")</f>
        <v>Windows 10 and 11 Wont Boot, How To Fix UEFI Partition</v>
      </c>
      <c r="P990" s="11" t="s">
        <v>175</v>
      </c>
      <c r="AR990" s="11">
        <f>SUBTOTAL(3,_xlfn.SINGLE(tbl_pros[RowId]))</f>
        <v>1</v>
      </c>
    </row>
    <row r="991" spans="10:44">
      <c r="J991" s="4">
        <v>981</v>
      </c>
      <c r="K991" s="20" t="s">
        <v>126</v>
      </c>
      <c r="L991" s="22">
        <v>45700</v>
      </c>
      <c r="M991" s="4">
        <v>2</v>
      </c>
      <c r="N991" s="4" t="s">
        <v>1931</v>
      </c>
      <c r="O991" s="21" t="str">
        <f>HYPERLINK("obsidian://open?vault=o2&amp;file=22%20FREE%20Windows%20Utilities%20EVERY%20User%20MUST%20Know%20About%21.md","22 FREE Windows Utilities EVERY User MUST Know About!")</f>
        <v>22 FREE Windows Utilities EVERY User MUST Know About!</v>
      </c>
      <c r="P991" s="11" t="s">
        <v>175</v>
      </c>
      <c r="Q991" s="21" t="str">
        <f>HYPERLINK("obsidian://open?vault=o2&amp;file=I%20Made%20an%20App%20that%20KEEPS%20Windows%2011%20Debloated%20%26%20Optimized.md","I Made an App that KEEPS Windows 11 Debloated &amp; Optimized")</f>
        <v>I Made an App that KEEPS Windows 11 Debloated &amp; Optimized</v>
      </c>
      <c r="R991" s="11" t="s">
        <v>175</v>
      </c>
      <c r="AR991" s="11">
        <f>SUBTOTAL(3,_xlfn.SINGLE(tbl_pros[RowId]))</f>
        <v>1</v>
      </c>
    </row>
    <row r="992" spans="10:44">
      <c r="J992" s="4">
        <v>982</v>
      </c>
      <c r="K992" s="20" t="s">
        <v>127</v>
      </c>
      <c r="L992" s="2" t="s">
        <v>1932</v>
      </c>
      <c r="M992" s="4">
        <v>5</v>
      </c>
      <c r="N992" s="4" t="s">
        <v>1933</v>
      </c>
      <c r="O992" s="21" t="str">
        <f>HYPERLINK("obsidian://open?vault=o2&amp;file=%E2%99%BB%EF%B8%8F%20My%20Habits.md","♻️ My Habits")</f>
        <v>♻️ My Habits</v>
      </c>
      <c r="P992" s="11" t="s">
        <v>175</v>
      </c>
      <c r="Q992" s="21" t="str">
        <f>HYPERLINK("obsidian://open?vault=o2&amp;file=%E2%9A%92%EF%B8%8F%20FUE%20-%20Frequently%20Used%20Emoji%27s.md","⚒️ FUE - Frequently Used Emoji's")</f>
        <v>⚒️ FUE - Frequently Used Emoji's</v>
      </c>
      <c r="R992" s="11" t="s">
        <v>175</v>
      </c>
      <c r="S992" s="21" t="str">
        <f>HYPERLINK("obsidian://open?vault=o2&amp;file=%E2%9A%92%EF%B8%8F%20FUN%20-%20Frequently%20Used%20Notes.md","⚒️ FUN - Frequently Used Notes")</f>
        <v>⚒️ FUN - Frequently Used Notes</v>
      </c>
      <c r="T992" s="11" t="s">
        <v>175</v>
      </c>
      <c r="U992" s="21" t="str">
        <f>HYPERLINK("obsidian://open?vault=o2&amp;file=%F0%9F%93%A5%20Konik%20Method%20for%20Making%20Useful%20Notes.md","📥 Konik Method for Making Useful Notes")</f>
        <v>📥 Konik Method for Making Useful Notes</v>
      </c>
      <c r="V992" s="11" t="s">
        <v>175</v>
      </c>
      <c r="W992" s="21" t="str">
        <f>HYPERLINK("obsidian://open?vault=o2&amp;file=Colbert%20Diff%20between%20Classified%20Documents%20Biden%20vs.%20Trump.md","Colbert Diff between Classified Documents Biden vs. Trump")</f>
        <v>Colbert Diff between Classified Documents Biden vs. Trump</v>
      </c>
      <c r="X992" s="11" t="s">
        <v>175</v>
      </c>
      <c r="AR992" s="11">
        <f>SUBTOTAL(3,_xlfn.SINGLE(tbl_pros[RowId]))</f>
        <v>1</v>
      </c>
    </row>
    <row r="993" spans="10:44">
      <c r="J993" s="4">
        <v>983</v>
      </c>
      <c r="K993" s="20" t="s">
        <v>127</v>
      </c>
      <c r="L993" s="2" t="s">
        <v>1934</v>
      </c>
      <c r="M993" s="4">
        <v>2</v>
      </c>
      <c r="N993" s="4" t="s">
        <v>1935</v>
      </c>
      <c r="O993" s="21" t="str">
        <f>HYPERLINK("obsidian://open?vault=o2&amp;file=Bletchley%20Park%20interviews%20with%20IJ%20Good%20and%20Mickey.md","Bletchley Park interviews with IJ Good and Mickey")</f>
        <v>Bletchley Park interviews with IJ Good and Mickey</v>
      </c>
      <c r="P993" s="11" t="s">
        <v>175</v>
      </c>
      <c r="Q993" s="21" t="str">
        <f>HYPERLINK("obsidian://open?vault=o2&amp;file=PKM%20Code%20Framework.md","PKM Code Framework")</f>
        <v>PKM Code Framework</v>
      </c>
      <c r="R993" s="11" t="s">
        <v>175</v>
      </c>
      <c r="AR993" s="11">
        <f>SUBTOTAL(3,_xlfn.SINGLE(tbl_pros[RowId]))</f>
        <v>1</v>
      </c>
    </row>
    <row r="994" spans="10:44">
      <c r="J994" s="4">
        <v>984</v>
      </c>
      <c r="K994" s="20" t="s">
        <v>127</v>
      </c>
      <c r="L994" s="2" t="s">
        <v>1936</v>
      </c>
      <c r="M994" s="4">
        <v>1</v>
      </c>
      <c r="N994" s="4" t="s">
        <v>1937</v>
      </c>
      <c r="O994" s="21" t="str">
        <f>HYPERLINK("obsidian://open?vault=o2&amp;file=%F0%9F%92%AD%20There%20is%20too%20much%20content%20to%20consume.md","💭 There is too much content to consume")</f>
        <v>💭 There is too much content to consume</v>
      </c>
      <c r="P994" s="11" t="s">
        <v>175</v>
      </c>
      <c r="AR994" s="11">
        <f>SUBTOTAL(3,_xlfn.SINGLE(tbl_pros[RowId]))</f>
        <v>1</v>
      </c>
    </row>
    <row r="995" spans="10:44">
      <c r="J995" s="4">
        <v>985</v>
      </c>
      <c r="K995" s="20" t="s">
        <v>127</v>
      </c>
      <c r="L995" s="2" t="s">
        <v>1938</v>
      </c>
      <c r="M995" s="4">
        <v>18</v>
      </c>
      <c r="N995" s="4" t="s">
        <v>1939</v>
      </c>
      <c r="O995" s="21" t="str">
        <f>HYPERLINK("obsidian://open?vault=o2&amp;file=%E2%9A%A1%20Add%20Notebook%20Areas%20and%20Resources%20Project.md","⚡ Add Notebook Areas and Resources Project")</f>
        <v>⚡ Add Notebook Areas and Resources Project</v>
      </c>
      <c r="P995" s="11" t="s">
        <v>175</v>
      </c>
      <c r="Q995" s="21" t="str">
        <f>HYPERLINK("obsidian://open?vault=o2&amp;file=%E2%9A%A1%20Cheatsheets%20Library.md","⚡ Cheatsheets Library")</f>
        <v>⚡ Cheatsheets Library</v>
      </c>
      <c r="R995" s="11" t="s">
        <v>175</v>
      </c>
      <c r="S995" s="21" t="str">
        <f>HYPERLINK("obsidian://open?vault=o2&amp;file=%E2%9A%A1%20Coding.md","⚡ Coding")</f>
        <v>⚡ Coding</v>
      </c>
      <c r="T995" s="11" t="s">
        <v>175</v>
      </c>
      <c r="U995" s="21" t="str">
        <f>HYPERLINK("obsidian://open?vault=o2&amp;file=%E2%9A%A1%20Create%20a%20Recipe%20Cookbook.md","⚡ Create a Recipe Cookbook")</f>
        <v>⚡ Create a Recipe Cookbook</v>
      </c>
      <c r="V995" s="11" t="s">
        <v>175</v>
      </c>
      <c r="W995" s="21" t="str">
        <f>HYPERLINK("obsidian://open?vault=o2&amp;file=%E2%9A%A1%20Debug%20metaCatchall%20Project.md","⚡ Debug metaCatchall Project")</f>
        <v>⚡ Debug metaCatchall Project</v>
      </c>
      <c r="X995" s="11" t="s">
        <v>175</v>
      </c>
      <c r="Y995" s="21" t="str">
        <f>HYPERLINK("obsidian://open?vault=o2&amp;file=%E2%9A%A1%20Home%20Project.md","⚡ Home Project")</f>
        <v>⚡ Home Project</v>
      </c>
      <c r="Z995" s="11" t="s">
        <v>175</v>
      </c>
      <c r="AA995" s="21" t="str">
        <f>HYPERLINK("obsidian://open?vault=o2&amp;file=%E2%9A%A1%20Image%20Categorization%20Project.md","⚡ Image Categorization Project")</f>
        <v>⚡ Image Categorization Project</v>
      </c>
      <c r="AB995" s="11" t="s">
        <v>175</v>
      </c>
      <c r="AC995" s="21" t="str">
        <f>HYPERLINK("obsidian://open?vault=o2&amp;file=%E2%9A%A1%20Learn%20Python%20and%20OOP%20Project.md","⚡ Learn Python and OOP Project")</f>
        <v>⚡ Learn Python and OOP Project</v>
      </c>
      <c r="AD995" s="11" t="s">
        <v>175</v>
      </c>
      <c r="AE995" s="21" t="str">
        <f>HYPERLINK("obsidian://open?vault=o2&amp;file=%E2%9A%A1%20Learning%20iOS%20Project.md","⚡ Learning iOS Project")</f>
        <v>⚡ Learning iOS Project</v>
      </c>
      <c r="AF995" s="11" t="s">
        <v>175</v>
      </c>
      <c r="AG995" s="21" t="str">
        <f>HYPERLINK("obsidian://open?vault=o2&amp;file=%E2%9A%A1%20Learning%20Obsidian%20Project.md","⚡ Learning Obsidian Project")</f>
        <v>⚡ Learning Obsidian Project</v>
      </c>
      <c r="AH995" s="11" t="s">
        <v>175</v>
      </c>
      <c r="AI995" s="21" t="str">
        <f>HYPERLINK("obsidian://open?vault=o2&amp;file=%E2%9A%A1%20Media%20Project.md","⚡ Media Project")</f>
        <v>⚡ Media Project</v>
      </c>
      <c r="AJ995" s="11" t="s">
        <v>175</v>
      </c>
      <c r="AK995" s="21" t="str">
        <f>HYPERLINK("obsidian://open?vault=o2&amp;file=%E2%9A%A1%20Money%20Management%20Project.md","⚡ Money Management Project")</f>
        <v>⚡ Money Management Project</v>
      </c>
      <c r="AL995" s="11" t="s">
        <v>175</v>
      </c>
      <c r="AM995" s="21" t="str">
        <f>HYPERLINK("obsidian://open?vault=o2&amp;file=%E2%9A%A1%20Office%20Desk%20Design%20Project.md","⚡ Office Desk Design Project")</f>
        <v>⚡ Office Desk Design Project</v>
      </c>
      <c r="AN995" s="11" t="s">
        <v>175</v>
      </c>
      <c r="AO995" s="21" t="str">
        <f>HYPERLINK("obsidian://open?vault=o2&amp;file=%E2%9A%A1%20Print%20On%20Demand%20Project.md","⚡ Print On Demand Project")</f>
        <v>⚡ Print On Demand Project</v>
      </c>
      <c r="AP995" s="11" t="s">
        <v>175</v>
      </c>
      <c r="AQ995" s="21" t="str">
        <f>HYPERLINK("obsidian://open?vault=o2&amp;file=%E2%9A%A1%20Rebuild%20PC%20Project.md","⚡ Rebuild PC Project")</f>
        <v>⚡ Rebuild PC Project</v>
      </c>
      <c r="AR995" s="11">
        <f>SUBTOTAL(3,_xlfn.SINGLE(tbl_pros[RowId]))</f>
        <v>1</v>
      </c>
    </row>
    <row r="996" spans="10:44">
      <c r="J996" s="4">
        <v>986</v>
      </c>
      <c r="K996" s="20" t="s">
        <v>127</v>
      </c>
      <c r="L996" s="2" t="s">
        <v>1940</v>
      </c>
      <c r="M996" s="4">
        <v>2</v>
      </c>
      <c r="N996" s="4" t="s">
        <v>1941</v>
      </c>
      <c r="O996" s="21" t="str">
        <f>HYPERLINK("obsidian://open?vault=o2&amp;file=%E2%9A%A1%20CasaOS%20Project.md","⚡ CasaOS Project")</f>
        <v>⚡ CasaOS Project</v>
      </c>
      <c r="P996" s="11" t="s">
        <v>175</v>
      </c>
      <c r="Q996" s="21" t="str">
        <f>HYPERLINK("obsidian://open?vault=o2&amp;file=%E2%9A%92%EF%B8%8F%20Tag%20Usage%20Queries.md","⚒️ Tag Usage Queries")</f>
        <v>⚒️ Tag Usage Queries</v>
      </c>
      <c r="R996" s="11" t="s">
        <v>175</v>
      </c>
      <c r="AR996" s="11">
        <f>SUBTOTAL(3,_xlfn.SINGLE(tbl_pros[RowId]))</f>
        <v>1</v>
      </c>
    </row>
    <row r="997" spans="10:44">
      <c r="J997" s="4">
        <v>987</v>
      </c>
      <c r="K997" s="20" t="s">
        <v>127</v>
      </c>
      <c r="L997" s="2" t="s">
        <v>1942</v>
      </c>
      <c r="M997" s="4">
        <v>3</v>
      </c>
      <c r="N997" s="4" t="s">
        <v>1943</v>
      </c>
      <c r="O997" s="21" t="str">
        <f>HYPERLINK("obsidian://open?vault=o2&amp;file=Memberships%20and%20Rewards.md","Memberships and Rewards")</f>
        <v>Memberships and Rewards</v>
      </c>
      <c r="P997" s="11" t="s">
        <v>175</v>
      </c>
      <c r="Q997" s="21" t="str">
        <f>HYPERLINK("obsidian://open?vault=o2&amp;file=Re-installing%20CasaOS.md","Re-installing CasaOS")</f>
        <v>Re-installing CasaOS</v>
      </c>
      <c r="R997" s="11" t="s">
        <v>175</v>
      </c>
      <c r="S997" s="21" t="str">
        <f>HYPERLINK("obsidian://open?vault=o2&amp;file=1-Projects.md","1-Projects")</f>
        <v>1-Projects</v>
      </c>
      <c r="T997" s="11" t="s">
        <v>175</v>
      </c>
      <c r="AR997" s="11">
        <f>SUBTOTAL(3,_xlfn.SINGLE(tbl_pros[RowId]))</f>
        <v>1</v>
      </c>
    </row>
    <row r="998" spans="10:44">
      <c r="J998" s="4">
        <v>988</v>
      </c>
      <c r="K998" s="20" t="s">
        <v>127</v>
      </c>
      <c r="L998" s="2" t="s">
        <v>1944</v>
      </c>
      <c r="M998" s="4">
        <v>1</v>
      </c>
      <c r="N998" s="4" t="s">
        <v>1945</v>
      </c>
      <c r="O998" s="21" t="str">
        <f>HYPERLINK("obsidian://open?vault=o2&amp;file=obsidian-scraper%20Workflow-Use%20Quickadd.md","obsidian-scraper Workflow-Use Quickadd")</f>
        <v>obsidian-scraper Workflow-Use Quickadd</v>
      </c>
      <c r="P998" s="11" t="s">
        <v>175</v>
      </c>
      <c r="AR998" s="11">
        <f>SUBTOTAL(3,_xlfn.SINGLE(tbl_pros[RowId]))</f>
        <v>1</v>
      </c>
    </row>
    <row r="999" spans="10:44">
      <c r="J999" s="4">
        <v>989</v>
      </c>
      <c r="K999" s="20" t="s">
        <v>127</v>
      </c>
      <c r="L999" s="2" t="s">
        <v>1946</v>
      </c>
      <c r="M999" s="4">
        <v>1</v>
      </c>
      <c r="N999" s="4" t="s">
        <v>1947</v>
      </c>
      <c r="O999" s="21" t="str">
        <f>HYPERLINK("obsidian://open?vault=o2&amp;file=Magazines%20Ordered%20Jan-2023.md","Magazines Ordered Jan-2023")</f>
        <v>Magazines Ordered Jan-2023</v>
      </c>
      <c r="P999" s="11" t="s">
        <v>175</v>
      </c>
      <c r="AR999" s="11">
        <f>SUBTOTAL(3,_xlfn.SINGLE(tbl_pros[RowId]))</f>
        <v>1</v>
      </c>
    </row>
    <row r="1000" spans="10:44">
      <c r="J1000" s="4">
        <v>990</v>
      </c>
      <c r="K1000" s="20" t="s">
        <v>127</v>
      </c>
      <c r="L1000" s="2" t="s">
        <v>1948</v>
      </c>
      <c r="M1000" s="4">
        <v>1</v>
      </c>
      <c r="N1000" s="4" t="s">
        <v>1949</v>
      </c>
      <c r="O1000" s="21" t="str">
        <f>HYPERLINK("obsidian://open?vault=o2&amp;file=%F0%9F%92%A1%20Rebirth%20CWS.md","💡 Rebirth CWS")</f>
        <v>💡 Rebirth CWS</v>
      </c>
      <c r="P1000" s="11" t="s">
        <v>175</v>
      </c>
      <c r="AR1000" s="11">
        <f>SUBTOTAL(3,_xlfn.SINGLE(tbl_pros[RowId]))</f>
        <v>1</v>
      </c>
    </row>
    <row r="1001" spans="10:44">
      <c r="J1001" s="4">
        <v>991</v>
      </c>
      <c r="K1001" s="20" t="s">
        <v>127</v>
      </c>
      <c r="L1001" s="2" t="s">
        <v>1950</v>
      </c>
      <c r="M1001" s="4">
        <v>1</v>
      </c>
      <c r="N1001" s="4" t="s">
        <v>1951</v>
      </c>
      <c r="O1001" s="21" t="str">
        <f>HYPERLINK("obsidian://open?vault=o2&amp;file=%F0%9F%92%A1%20test9.md","💡 test9")</f>
        <v>💡 test9</v>
      </c>
      <c r="P1001" s="11" t="s">
        <v>175</v>
      </c>
      <c r="AR1001" s="11">
        <f>SUBTOTAL(3,_xlfn.SINGLE(tbl_pros[RowId]))</f>
        <v>1</v>
      </c>
    </row>
    <row r="1002" spans="10:44">
      <c r="J1002" s="4">
        <v>992</v>
      </c>
      <c r="K1002" s="20" t="s">
        <v>127</v>
      </c>
      <c r="L1002" s="2" t="s">
        <v>1952</v>
      </c>
      <c r="M1002" s="4">
        <v>13</v>
      </c>
      <c r="N1002" s="4" t="s">
        <v>1953</v>
      </c>
      <c r="O1002" s="21" t="str">
        <f>HYPERLINK("obsidian://open?vault=o2&amp;file=Hotkey%20ShortList%20by%20Assigned%20Hotkey.md","Hotkey ShortList by Assigned Hotkey")</f>
        <v>Hotkey ShortList by Assigned Hotkey</v>
      </c>
      <c r="P1002" s="11" t="s">
        <v>175</v>
      </c>
      <c r="Q1002" s="21" t="str">
        <f>HYPERLINK("obsidian://open?vault=o2&amp;file=Hotkey%20ShortList%20by%20Command%20Name.md","Hotkey ShortList by Command Name")</f>
        <v>Hotkey ShortList by Command Name</v>
      </c>
      <c r="R1002" s="11" t="s">
        <v>175</v>
      </c>
      <c r="S1002" s="21" t="str">
        <f>HYPERLINK("obsidian://open?vault=o2&amp;file=Hotkey%20ShortList%20by%20CommandID.md","Hotkey ShortList by CommandID")</f>
        <v>Hotkey ShortList by CommandID</v>
      </c>
      <c r="T1002" s="11" t="s">
        <v>175</v>
      </c>
      <c r="U1002" s="21" t="str">
        <f>HYPERLINK("obsidian://open?vault=o2&amp;file=Hotkeys%20by%20Assigned%20Hotkey.md","Hotkeys by Assigned Hotkey")</f>
        <v>Hotkeys by Assigned Hotkey</v>
      </c>
      <c r="V1002" s="11" t="s">
        <v>175</v>
      </c>
      <c r="W1002" s="21" t="str">
        <f>HYPERLINK("obsidian://open?vault=o2&amp;file=Hotkeys%20by%20Command%20Name.md","Hotkeys by Command Name")</f>
        <v>Hotkeys by Command Name</v>
      </c>
      <c r="X1002" s="11" t="s">
        <v>175</v>
      </c>
      <c r="Y1002" s="21" t="str">
        <f>HYPERLINK("obsidian://open?vault=o2&amp;file=Hotkeys%20by%20CommandID.md","Hotkeys by CommandID")</f>
        <v>Hotkeys by CommandID</v>
      </c>
      <c r="Z1002" s="11" t="s">
        <v>175</v>
      </c>
      <c r="AA1002" s="21" t="str">
        <f>HYPERLINK("obsidian://open?vault=o2&amp;file=Hotkeys%20Defined.md","Hotkeys Defined")</f>
        <v>Hotkeys Defined</v>
      </c>
      <c r="AB1002" s="11" t="s">
        <v>175</v>
      </c>
      <c r="AC1002" s="21" t="str">
        <f>HYPERLINK("obsidian://open?vault=o2&amp;file=My%20Hotkeys.md","My Hotkeys")</f>
        <v>My Hotkeys</v>
      </c>
      <c r="AD1002" s="11" t="s">
        <v>175</v>
      </c>
      <c r="AE1002" s="21" t="str">
        <f>HYPERLINK("obsidian://open?vault=o2&amp;file=My%20Plugins.md","My Plugins")</f>
        <v>My Plugins</v>
      </c>
      <c r="AF1002" s="11" t="s">
        <v>175</v>
      </c>
      <c r="AG1002" s="21" t="str">
        <f>HYPERLINK("obsidian://open?vault=o2&amp;file=Obsidian%20Hotkeys%20for%20Editing.md","Obsidian Hotkeys for Editing")</f>
        <v>Obsidian Hotkeys for Editing</v>
      </c>
      <c r="AH1002" s="11" t="s">
        <v>175</v>
      </c>
      <c r="AI1002" s="21" t="str">
        <f>HYPERLINK("obsidian://open?vault=o2&amp;file=Secure%20Remote%20Access.md","Secure Remote Access")</f>
        <v>Secure Remote Access</v>
      </c>
      <c r="AJ1002" s="11" t="s">
        <v>175</v>
      </c>
      <c r="AK1002" s="21" t="str">
        <f>HYPERLINK("obsidian://open?vault=o2&amp;file=Vim%20Cheatsheet.md","Vim Cheatsheet")</f>
        <v>Vim Cheatsheet</v>
      </c>
      <c r="AL1002" s="11" t="s">
        <v>175</v>
      </c>
      <c r="AM1002" s="21" t="str">
        <f>HYPERLINK("obsidian://open?vault=o2&amp;file=Templater%20Cheat%20Sheet.md","Templater Cheat Sheet")</f>
        <v>Templater Cheat Sheet</v>
      </c>
      <c r="AN1002" s="11" t="s">
        <v>175</v>
      </c>
      <c r="AR1002" s="11">
        <f>SUBTOTAL(3,_xlfn.SINGLE(tbl_pros[RowId]))</f>
        <v>1</v>
      </c>
    </row>
    <row r="1003" spans="10:44">
      <c r="J1003" s="4">
        <v>993</v>
      </c>
      <c r="K1003" s="20" t="s">
        <v>127</v>
      </c>
      <c r="L1003" s="2" t="s">
        <v>1954</v>
      </c>
      <c r="M1003" s="4">
        <v>4</v>
      </c>
      <c r="N1003" s="4" t="s">
        <v>1955</v>
      </c>
      <c r="O1003" s="21" t="str">
        <f>HYPERLINK("obsidian://open?vault=o2&amp;file=Setup%20DDNS-go.md","Setup DDNS-go")</f>
        <v>Setup DDNS-go</v>
      </c>
      <c r="P1003" s="11" t="s">
        <v>175</v>
      </c>
      <c r="Q1003" s="21" t="str">
        <f>HYPERLINK("obsidian://open?vault=o2&amp;file=%E2%9A%A1%20Build%20118th%20Congress%20Spreadsheet.md","⚡ Build 118th Congress Spreadsheet")</f>
        <v>⚡ Build 118th Congress Spreadsheet</v>
      </c>
      <c r="R1003" s="11" t="s">
        <v>175</v>
      </c>
      <c r="S1003" s="21" t="str">
        <f>HYPERLINK("obsidian://open?vault=o2&amp;file=Fix%20Hue%20Lights.md","Fix Hue Lights")</f>
        <v>Fix Hue Lights</v>
      </c>
      <c r="T1003" s="11" t="s">
        <v>175</v>
      </c>
      <c r="U1003" s="21" t="str">
        <f>HYPERLINK("obsidian://open?vault=o2&amp;file=Homesale%20Timeline.md","Homesale Timeline")</f>
        <v>Homesale Timeline</v>
      </c>
      <c r="V1003" s="11" t="s">
        <v>175</v>
      </c>
      <c r="AR1003" s="11">
        <f>SUBTOTAL(3,_xlfn.SINGLE(tbl_pros[RowId]))</f>
        <v>1</v>
      </c>
    </row>
    <row r="1004" spans="10:44">
      <c r="J1004" s="4">
        <v>994</v>
      </c>
      <c r="K1004" s="20" t="s">
        <v>127</v>
      </c>
      <c r="L1004" s="2" t="s">
        <v>1956</v>
      </c>
      <c r="M1004" s="4">
        <v>31</v>
      </c>
      <c r="N1004" s="4" t="s">
        <v>1957</v>
      </c>
      <c r="O1004" s="21" t="str">
        <f>HYPERLINK("obsidian://open?vault=o2&amp;file=Managing%20and%20growing%20evergreen%20notes.md","Managing and growing evergreen notes")</f>
        <v>Managing and growing evergreen notes</v>
      </c>
      <c r="P1004" s="11" t="s">
        <v>175</v>
      </c>
      <c r="Q1004" s="21" t="str">
        <f>HYPERLINK("obsidian://open?vault=o2&amp;file=Sample%20YAML.md","Sample YAML")</f>
        <v>Sample YAML</v>
      </c>
      <c r="R1004" s="11" t="s">
        <v>175</v>
      </c>
      <c r="S1004" s="21" t="str">
        <f>HYPERLINK("obsidian://open?vault=o2&amp;file=Setup%20SSH%20to%20work%20in%20Powershell.md","Setup SSH to work in Powershell")</f>
        <v>Setup SSH to work in Powershell</v>
      </c>
      <c r="T1004" s="11" t="s">
        <v>175</v>
      </c>
      <c r="U1004" s="21" t="str">
        <f>HYPERLINK("obsidian://open?vault=o2&amp;file=Streaming%20Bundles.md","Streaming Bundles")</f>
        <v>Streaming Bundles</v>
      </c>
      <c r="V1004" s="11" t="s">
        <v>175</v>
      </c>
      <c r="W1004" s="21" t="str">
        <f>HYPERLINK("obsidian://open?vault=o2&amp;file=Advanced%20regular%20expression%20features%20to%20match%20Markdown%20links.md","Advanced regular expression features to match Markdown links")</f>
        <v>Advanced regular expression features to match Markdown links</v>
      </c>
      <c r="X1004" s="11" t="s">
        <v>175</v>
      </c>
      <c r="Y1004" s="21" t="str">
        <f>HYPERLINK("obsidian://open?vault=o2&amp;file=Markdown%20Definition%20Lists.md","Markdown Definition Lists")</f>
        <v>Markdown Definition Lists</v>
      </c>
      <c r="Z1004" s="11" t="s">
        <v>175</v>
      </c>
      <c r="AA1004" s="21" t="str">
        <f>HYPERLINK("obsidian://open?vault=o2&amp;file=Regex%20Flavors.md","Regex Flavors")</f>
        <v>Regex Flavors</v>
      </c>
      <c r="AB1004" s="11" t="s">
        <v>175</v>
      </c>
      <c r="AC1004" s="21" t="str">
        <f>HYPERLINK("obsidian://open?vault=o2&amp;file=Unicoding%20-%20In%20Brief.md","Unicoding - In Brief")</f>
        <v>Unicoding - In Brief</v>
      </c>
      <c r="AD1004" s="11" t="s">
        <v>175</v>
      </c>
      <c r="AE1004" s="21" t="str">
        <f>HYPERLINK("obsidian://open?vault=o2&amp;file=Useful%20Python%20Notes.md","Useful Python Notes")</f>
        <v>Useful Python Notes</v>
      </c>
      <c r="AF1004" s="11" t="s">
        <v>175</v>
      </c>
      <c r="AG1004" s="21" t="str">
        <f>HYPERLINK("obsidian://open?vault=o2&amp;file=YAML%20Fix%20Tool.md","YAML Fix Tool")</f>
        <v>YAML Fix Tool</v>
      </c>
      <c r="AH1004" s="11" t="s">
        <v>175</v>
      </c>
      <c r="AI1004" s="21" t="str">
        <f>HYPERLINK("obsidian://open?vault=o2&amp;file=Notes%20on%20Python%20Class%20Objects.md","Notes on Python Class Objects")</f>
        <v>Notes on Python Class Objects</v>
      </c>
      <c r="AJ1004" s="11" t="s">
        <v>175</v>
      </c>
      <c r="AK1004" s="21" t="str">
        <f>HYPERLINK("obsidian://open?vault=o2&amp;file=Emoji%20Study.md","Emoji Study")</f>
        <v>Emoji Study</v>
      </c>
      <c r="AL1004" s="11" t="s">
        <v>175</v>
      </c>
      <c r="AM1004" s="21" t="str">
        <f>HYPERLINK("obsidian://open?vault=o2&amp;file=How%20I%20export%20dataviews.md","How I export dataviews")</f>
        <v>How I export dataviews</v>
      </c>
      <c r="AN1004" s="11" t="s">
        <v>175</v>
      </c>
      <c r="AO1004" s="21" t="str">
        <f>HYPERLINK("obsidian://open?vault=o2&amp;file=My%20Theme%20Management.md","My Theme Management")</f>
        <v>My Theme Management</v>
      </c>
      <c r="AP1004" s="11" t="s">
        <v>175</v>
      </c>
      <c r="AQ1004" s="21" t="str">
        <f>HYPERLINK("obsidian://open?vault=o2&amp;file=YAML%20Tool%20Definition.md","YAML Tool Definition")</f>
        <v>YAML Tool Definition</v>
      </c>
      <c r="AR1004" s="11">
        <f>SUBTOTAL(3,_xlfn.SINGLE(tbl_pros[RowId]))</f>
        <v>1</v>
      </c>
    </row>
    <row r="1005" spans="10:44">
      <c r="J1005" s="4">
        <v>995</v>
      </c>
      <c r="K1005" s="20" t="s">
        <v>127</v>
      </c>
      <c r="L1005" s="2" t="s">
        <v>1958</v>
      </c>
      <c r="M1005" s="4">
        <v>38</v>
      </c>
      <c r="N1005" s="4" t="s">
        <v>1959</v>
      </c>
      <c r="O1005" s="21" t="str">
        <f>HYPERLINK("obsidian://open?vault=o2&amp;file=Colonoscopy%20Notes.md","Colonoscopy Notes")</f>
        <v>Colonoscopy Notes</v>
      </c>
      <c r="P1005" s="11" t="s">
        <v>175</v>
      </c>
      <c r="Q1005" s="21" t="str">
        <f>HYPERLINK("obsidian://open?vault=o2&amp;file=Creating%20and%20tracking%20your%20own%20habits%20and%20statistics.md","Creating and tracking your own habits and statistics")</f>
        <v>Creating and tracking your own habits and statistics</v>
      </c>
      <c r="R1005" s="11" t="s">
        <v>175</v>
      </c>
      <c r="S1005" s="21" t="str">
        <f>HYPERLINK("obsidian://open?vault=o2&amp;file=Fix%20Drives%20with%20Partition%20Magic.md","Fix Drives with Partition Magic")</f>
        <v>Fix Drives with Partition Magic</v>
      </c>
      <c r="T1005" s="11" t="s">
        <v>175</v>
      </c>
      <c r="U1005" s="21" t="str">
        <f>HYPERLINK("obsidian://open?vault=o2&amp;file=Jokologue.md","Jokologue")</f>
        <v>Jokologue</v>
      </c>
      <c r="V1005" s="11" t="s">
        <v>175</v>
      </c>
      <c r="W1005" s="21" t="str">
        <f>HYPERLINK("obsidian://open?vault=o2&amp;file=Learn%20Python%20in%20Y%20Minutes.md","Learn Python in Y Minutes")</f>
        <v>Learn Python in Y Minutes</v>
      </c>
      <c r="X1005" s="11" t="s">
        <v>175</v>
      </c>
      <c r="Y1005" s="21" t="str">
        <f>HYPERLINK("obsidian://open?vault=o2&amp;file=Make%20file%20metadata%20and%20properties%20separate%20concepts.md","Make file metadata and properties separate concepts")</f>
        <v>Make file metadata and properties separate concepts</v>
      </c>
      <c r="Z1005" s="11" t="s">
        <v>175</v>
      </c>
      <c r="AA1005" s="21" t="str">
        <f>HYPERLINK("obsidian://open?vault=o2&amp;file=My%20Adobe%20CS5.5%20Notes.md","My Adobe CS5.5 Notes")</f>
        <v>My Adobe CS5.5 Notes</v>
      </c>
      <c r="AB1005" s="11" t="s">
        <v>175</v>
      </c>
      <c r="AC1005" s="21" t="str">
        <f>HYPERLINK("obsidian://open?vault=o2&amp;file=My%20Firefox%20Plugins-2024.md","My Firefox Plugins-2024")</f>
        <v>My Firefox Plugins-2024</v>
      </c>
      <c r="AD1005" s="11" t="s">
        <v>175</v>
      </c>
      <c r="AE1005" s="21" t="str">
        <f>HYPERLINK("obsidian://open?vault=o2&amp;file=My%20MediaMonkey%20Notes.md","My MediaMonkey Notes")</f>
        <v>My MediaMonkey Notes</v>
      </c>
      <c r="AF1005" s="11" t="s">
        <v>175</v>
      </c>
      <c r="AG1005" s="21" t="str">
        <f>HYPERLINK("obsidian://open?vault=o2&amp;file=Obsidian%20Community%20Plugins.md","Obsidian Community Plugins")</f>
        <v>Obsidian Community Plugins</v>
      </c>
      <c r="AH1005" s="11" t="s">
        <v>175</v>
      </c>
      <c r="AI1005" s="21" t="str">
        <f>HYPERLINK("obsidian://open?vault=o2&amp;file=Prism%20Mark%20Syntax%20for%20Colors.md","Prism Mark Syntax for Colors")</f>
        <v>Prism Mark Syntax for Colors</v>
      </c>
      <c r="AJ1005" s="11" t="s">
        <v>175</v>
      </c>
      <c r="AK1005" s="21" t="str">
        <f>HYPERLINK("obsidian://open?vault=o2&amp;file=testTasklist.md","testTasklist")</f>
        <v>testTasklist</v>
      </c>
      <c r="AL1005" s="11" t="s">
        <v>175</v>
      </c>
      <c r="AM1005" s="21" t="str">
        <f>HYPERLINK("obsidian://open?vault=o2&amp;file=Untitled.md","Untitled")</f>
        <v>Untitled</v>
      </c>
      <c r="AN1005" s="11" t="s">
        <v>175</v>
      </c>
      <c r="AO1005" s="21" t="str">
        <f>HYPERLINK("obsidian://open?vault=o2&amp;file=Vault%20Troubleshooting.md","Vault Troubleshooting")</f>
        <v>Vault Troubleshooting</v>
      </c>
      <c r="AP1005" s="11" t="s">
        <v>175</v>
      </c>
      <c r="AQ1005" s="21" t="str">
        <f>HYPERLINK("obsidian://open?vault=o2&amp;file=What%20I%20did%20to%20fix%20the%20BSOD%20on%20Boot.md","What I did to fix the BSOD on Boot")</f>
        <v>What I did to fix the BSOD on Boot</v>
      </c>
      <c r="AR1005" s="11">
        <f>SUBTOTAL(3,_xlfn.SINGLE(tbl_pros[RowId]))</f>
        <v>1</v>
      </c>
    </row>
    <row r="1006" spans="10:44">
      <c r="J1006" s="4">
        <v>996</v>
      </c>
      <c r="K1006" s="20" t="s">
        <v>127</v>
      </c>
      <c r="L1006" s="2" t="s">
        <v>1960</v>
      </c>
      <c r="M1006" s="4">
        <v>58</v>
      </c>
      <c r="N1006" s="4" t="s">
        <v>1961</v>
      </c>
      <c r="O1006" s="21" t="str">
        <f>HYPERLINK("obsidian://open?vault=o2&amp;file=Expand%20CasaOS%20App%20Library.md","Expand CasaOS App Library")</f>
        <v>Expand CasaOS App Library</v>
      </c>
      <c r="P1006" s="11" t="s">
        <v>175</v>
      </c>
      <c r="Q1006" s="21" t="str">
        <f>HYPERLINK("obsidian://open?vault=o2&amp;file=Glossary.md","Glossary")</f>
        <v>Glossary</v>
      </c>
      <c r="R1006" s="11" t="s">
        <v>175</v>
      </c>
      <c r="S1006" s="21" t="str">
        <f>HYPERLINK("obsidian://open?vault=o2&amp;file=Hire%20a%20Realtor.md","Hire a Realtor")</f>
        <v>Hire a Realtor</v>
      </c>
      <c r="T1006" s="11" t="s">
        <v>175</v>
      </c>
      <c r="U1006" s="21" t="str">
        <f>HYPERLINK("obsidian://open?vault=o2&amp;file=Latest%20Network%20Mappings.md","Latest Network Mappings")</f>
        <v>Latest Network Mappings</v>
      </c>
      <c r="V1006" s="11" t="s">
        <v>175</v>
      </c>
      <c r="W1006" s="21" t="str">
        <f>HYPERLINK("obsidian://open?vault=o2&amp;file=Maintain%20notes%20that%20you%20revisit.md","Maintain notes that you revisit")</f>
        <v>Maintain notes that you revisit</v>
      </c>
      <c r="X1006" s="11" t="s">
        <v>175</v>
      </c>
      <c r="Y1006" s="21" t="str">
        <f>HYPERLINK("obsidian://open?vault=o2&amp;file=Manage%20Users.md","Manage Users")</f>
        <v>Manage Users</v>
      </c>
      <c r="Z1006" s="11" t="s">
        <v>175</v>
      </c>
      <c r="AA1006" s="21" t="str">
        <f>HYPERLINK("obsidian://open?vault=o2&amp;file=Money%20Moves%20for%202023.md","Money Moves for 2023")</f>
        <v>Money Moves for 2023</v>
      </c>
      <c r="AB1006" s="11" t="s">
        <v>175</v>
      </c>
      <c r="AC1006" s="21" t="str">
        <f>HYPERLINK("obsidian://open?vault=o2&amp;file=Obsidian%20Tracker%20Plugin.md","Obsidian Tracker Plugin")</f>
        <v>Obsidian Tracker Plugin</v>
      </c>
      <c r="AD1006" s="11" t="s">
        <v>175</v>
      </c>
      <c r="AE1006" s="21" t="str">
        <f>HYPERLINK("obsidian://open?vault=o2&amp;file=Port%20Forwarding%20on%20Xfinity.md","Port Forwarding on Xfinity")</f>
        <v>Port Forwarding on Xfinity</v>
      </c>
      <c r="AF1006" s="11" t="s">
        <v>175</v>
      </c>
      <c r="AG1006" s="21" t="str">
        <f>HYPERLINK("obsidian://open?vault=o2&amp;file=Research%20Cable%20Management.md","Research Cable Management")</f>
        <v>Research Cable Management</v>
      </c>
      <c r="AH1006" s="11" t="s">
        <v>175</v>
      </c>
      <c r="AI1006" s="21" t="str">
        <f>HYPERLINK("obsidian://open?vault=o2&amp;file=Research%20Desk%20Lighting.md","Research Desk Lighting")</f>
        <v>Research Desk Lighting</v>
      </c>
      <c r="AJ1006" s="11" t="s">
        <v>175</v>
      </c>
      <c r="AK1006" s="21" t="str">
        <f>HYPERLINK("obsidian://open?vault=o2&amp;file=see%20people.md","see people")</f>
        <v>see people</v>
      </c>
      <c r="AL1006" s="11" t="s">
        <v>175</v>
      </c>
      <c r="AM1006" s="21" t="str">
        <f>HYPERLINK("obsidian://open?vault=o2&amp;file=Setting%20up%20periodic%20notes.md","Setting up periodic notes")</f>
        <v>Setting up periodic notes</v>
      </c>
      <c r="AN1006" s="11" t="s">
        <v>175</v>
      </c>
      <c r="AO1006" s="21" t="str">
        <f>HYPERLINK("obsidian://open?vault=o2&amp;file=Setup%20a%20VPN%20on%20your%20network.md","Setup a VPN on your network")</f>
        <v>Setup a VPN on your network</v>
      </c>
      <c r="AP1006" s="11" t="s">
        <v>175</v>
      </c>
      <c r="AQ1006" s="21" t="str">
        <f>HYPERLINK("obsidian://open?vault=o2&amp;file=Setup%20Cloudflare.md","Setup Cloudflare")</f>
        <v>Setup Cloudflare</v>
      </c>
      <c r="AR1006" s="11">
        <f>SUBTOTAL(3,_xlfn.SINGLE(tbl_pros[RowId]))</f>
        <v>1</v>
      </c>
    </row>
    <row r="1007" spans="10:44">
      <c r="J1007" s="4">
        <v>997</v>
      </c>
      <c r="K1007" s="20" t="s">
        <v>127</v>
      </c>
      <c r="L1007" s="2" t="s">
        <v>1962</v>
      </c>
      <c r="M1007" s="4">
        <v>3</v>
      </c>
      <c r="N1007" s="4" t="s">
        <v>1963</v>
      </c>
      <c r="O1007" s="21" t="str">
        <f>HYPERLINK("obsidian://open?vault=o2&amp;file=The%20Perfect%20Diane%20Sauce%20-%20Chicken%20Diane%20%20Chef%20Jean-Pierre.md","The Perfect Diane Sauce - Chicken Diane  Chef Jean-Pierre")</f>
        <v>The Perfect Diane Sauce - Chicken Diane  Chef Jean-Pierre</v>
      </c>
      <c r="P1007" s="11" t="s">
        <v>175</v>
      </c>
      <c r="Q1007" s="21" t="str">
        <f>HYPERLINK("obsidian://open?vault=o2&amp;file=The%20Ultimate%20Cable%20Management%20Tier%20List.md","The Ultimate Cable Management Tier List")</f>
        <v>The Ultimate Cable Management Tier List</v>
      </c>
      <c r="R1007" s="11" t="s">
        <v>175</v>
      </c>
      <c r="S1007" s="21" t="str">
        <f>HYPERLINK("obsidian://open?vault=o2&amp;file=Time%20to%20UNSUBSCRIBE%20from%20Disney%2B%2C%20Netflix%2C%20etc%21.md","Time to UNSUBSCRIBE from Disney+, Netflix, etc!")</f>
        <v>Time to UNSUBSCRIBE from Disney+, Netflix, etc!</v>
      </c>
      <c r="T1007" s="11" t="s">
        <v>175</v>
      </c>
      <c r="AR1007" s="11">
        <f>SUBTOTAL(3,_xlfn.SINGLE(tbl_pros[RowId]))</f>
        <v>1</v>
      </c>
    </row>
    <row r="1008" spans="10:44">
      <c r="J1008" s="4">
        <v>998</v>
      </c>
      <c r="K1008" s="20" t="s">
        <v>127</v>
      </c>
      <c r="L1008" s="2" t="s">
        <v>1964</v>
      </c>
      <c r="M1008" s="4">
        <v>4</v>
      </c>
      <c r="N1008" s="4" t="s">
        <v>1965</v>
      </c>
      <c r="O1008" s="21" t="str">
        <f>HYPERLINK("obsidian://open?vault=o2&amp;file=Managing%20inputs.md","Managing inputs")</f>
        <v>Managing inputs</v>
      </c>
      <c r="P1008" s="11" t="s">
        <v>175</v>
      </c>
      <c r="Q1008" s="21" t="str">
        <f>HYPERLINK("obsidian://open?vault=o2&amp;file=Turning%20notes%20into%20content.md","Turning notes into content")</f>
        <v>Turning notes into content</v>
      </c>
      <c r="R1008" s="11" t="s">
        <v>175</v>
      </c>
      <c r="S1008" s="21" t="str">
        <f>HYPERLINK("obsidian://open?vault=o2&amp;file=Paul%20D%20Directory%20Template%20Test.md","Paul D Directory Template Test")</f>
        <v>Paul D Directory Template Test</v>
      </c>
      <c r="T1008" s="11" t="s">
        <v>175</v>
      </c>
      <c r="U1008" s="21" t="str">
        <f>HYPERLINK("obsidian://open?vault=o2&amp;file=Paul%20D%20Directory%20Template.md","Paul D Directory Template")</f>
        <v>Paul D Directory Template</v>
      </c>
      <c r="V1008" s="11" t="s">
        <v>175</v>
      </c>
      <c r="AR1008" s="11">
        <f>SUBTOTAL(3,_xlfn.SINGLE(tbl_pros[RowId]))</f>
        <v>1</v>
      </c>
    </row>
    <row r="1009" spans="10:44">
      <c r="J1009" s="4">
        <v>999</v>
      </c>
      <c r="K1009" s="20" t="s">
        <v>127</v>
      </c>
      <c r="L1009" s="2" t="s">
        <v>1966</v>
      </c>
      <c r="M1009" s="4">
        <v>1</v>
      </c>
      <c r="N1009" s="4" t="s">
        <v>1967</v>
      </c>
      <c r="O1009" s="21" t="str">
        <f>HYPERLINK("obsidian://open?vault=o2&amp;file=%F0%9F%97%BA%EF%B8%8F%20Personal%20Knowledge%20Management%20MOC.md","🗺️ Personal Knowledge Management MOC")</f>
        <v>🗺️ Personal Knowledge Management MOC</v>
      </c>
      <c r="P1009" s="11" t="s">
        <v>175</v>
      </c>
      <c r="AR1009" s="11">
        <f>SUBTOTAL(3,_xlfn.SINGLE(tbl_pros[RowId]))</f>
        <v>1</v>
      </c>
    </row>
    <row r="1010" spans="10:44">
      <c r="J1010" s="4">
        <v>1000</v>
      </c>
      <c r="K1010" s="20" t="s">
        <v>127</v>
      </c>
      <c r="L1010" s="2" t="s">
        <v>1968</v>
      </c>
      <c r="M1010" s="4">
        <v>27</v>
      </c>
      <c r="N1010" s="4" t="s">
        <v>1969</v>
      </c>
      <c r="O1010" s="21" t="str">
        <f>HYPERLINK("obsidian://open?vault=o2&amp;file=BISAC%20Book%20Classifications.md","BISAC Book Classifications")</f>
        <v>BISAC Book Classifications</v>
      </c>
      <c r="P1010" s="11" t="s">
        <v>175</v>
      </c>
      <c r="Q1010" s="21" t="str">
        <f>HYPERLINK("obsidian://open?vault=o2&amp;file=Evergreen%20Notes.md","Evergreen Notes")</f>
        <v>Evergreen Notes</v>
      </c>
      <c r="R1010" s="11" t="s">
        <v>175</v>
      </c>
      <c r="S1010" s="21" t="str">
        <f>HYPERLINK("obsidian://open?vault=o2&amp;file=JM%27s%20Make.md%20notes.md","JM's Make notes")</f>
        <v>JM's Make notes</v>
      </c>
      <c r="T1010" s="11" t="s">
        <v>175</v>
      </c>
      <c r="U1010" s="21" t="str">
        <f>HYPERLINK("obsidian://open?vault=o2&amp;file=Managing%20appearance%20and%20theme.md","Managing appearance and theme")</f>
        <v>Managing appearance and theme</v>
      </c>
      <c r="V1010" s="11" t="s">
        <v>175</v>
      </c>
      <c r="W1010" s="21" t="str">
        <f>HYPERLINK("obsidian://open?vault=o2&amp;file=OneNote%20List%20of%20Notebooks.md","OneNote List of Notebooks")</f>
        <v>OneNote List of Notebooks</v>
      </c>
      <c r="X1010" s="11" t="s">
        <v>175</v>
      </c>
      <c r="Y1010" s="21" t="str">
        <f>HYPERLINK("obsidian://open?vault=o2&amp;file=Setup%20bash%20and%20VIM.md","Setup bash and VIM")</f>
        <v>Setup bash and VIM</v>
      </c>
      <c r="Z1010" s="11" t="s">
        <v>175</v>
      </c>
      <c r="AA1010" s="21" t="str">
        <f>HYPERLINK("obsidian://open?vault=o2&amp;file=Vault%20Overview.md","Vault Overview")</f>
        <v>Vault Overview</v>
      </c>
      <c r="AB1010" s="11" t="s">
        <v>175</v>
      </c>
      <c r="AC1010" s="21" t="str">
        <f>HYPERLINK("obsidian://open?vault=o2&amp;file=Vim%20Plugin%20Details.md","Vim Plugin Details")</f>
        <v>Vim Plugin Details</v>
      </c>
      <c r="AD1010" s="11" t="s">
        <v>175</v>
      </c>
      <c r="AE1010" s="21" t="str">
        <f>HYPERLINK("obsidian://open?vault=o2&amp;file=_start_here.md","_start_here")</f>
        <v>_start_here</v>
      </c>
      <c r="AF1010" s="11" t="s">
        <v>175</v>
      </c>
      <c r="AG1010" s="21" t="str">
        <f>HYPERLINK("obsidian://open?vault=o2&amp;file=%E2%9A%92%EF%B8%8F%20My%20Toolbox.md","⚒️ My Toolbox")</f>
        <v>⚒️ My Toolbox</v>
      </c>
      <c r="AH1010" s="11" t="s">
        <v>175</v>
      </c>
      <c r="AI1010" s="21" t="str">
        <f>HYPERLINK("obsidian://open?vault=o2&amp;file=%F0%9F%97%BA%EF%B8%8F%20Cooking%20MOC.md","🗺️ Cooking MOC")</f>
        <v>🗺️ Cooking MOC</v>
      </c>
      <c r="AJ1010" s="11" t="s">
        <v>175</v>
      </c>
      <c r="AK1010" s="21" t="str">
        <f>HYPERLINK("obsidian://open?vault=o2&amp;file=%F0%9F%97%BA%EF%B8%8F%20Maps%20of%20Content%20%28MOC%29.md","🗺️ Maps of Content (MOC)")</f>
        <v>🗺️ Maps of Content (MOC)</v>
      </c>
      <c r="AL1010" s="11" t="s">
        <v>175</v>
      </c>
      <c r="AM1010" s="21" t="str">
        <f>HYPERLINK("obsidian://open?vault=o2&amp;file=%F0%9F%97%BA%EF%B8%8F%20My%20MOCs.md","🗺️ My MOCs")</f>
        <v>🗺️ My MOCs</v>
      </c>
      <c r="AN1010" s="11" t="s">
        <v>175</v>
      </c>
      <c r="AO1010" s="21" t="str">
        <f>HYPERLINK("obsidian://open?vault=o2&amp;file=%F0%9F%97%BA%EF%B8%8F%20My%20Tools%20MOC.md","🗺️ My Tools MOC")</f>
        <v>🗺️ My Tools MOC</v>
      </c>
      <c r="AP1010" s="11" t="s">
        <v>175</v>
      </c>
      <c r="AQ1010" s="21" t="str">
        <f>HYPERLINK("obsidian://open?vault=o2&amp;file=%F0%9F%97%BA%EF%B8%8F%20Note%20Taking%20MOC.md","🗺️ Note Taking MOC")</f>
        <v>🗺️ Note Taking MOC</v>
      </c>
      <c r="AR1010" s="11">
        <f>SUBTOTAL(3,_xlfn.SINGLE(tbl_pros[RowId]))</f>
        <v>1</v>
      </c>
    </row>
    <row r="1011" spans="10:44">
      <c r="J1011" s="4">
        <v>1001</v>
      </c>
      <c r="K1011" s="20" t="s">
        <v>127</v>
      </c>
      <c r="L1011" s="2" t="s">
        <v>1970</v>
      </c>
      <c r="M1011" s="4">
        <v>7</v>
      </c>
      <c r="N1011" s="4" t="s">
        <v>1971</v>
      </c>
      <c r="O1011" s="21" t="str">
        <f>HYPERLINK("obsidian://open?vault=o2&amp;file=Haircut--Ring%20Lardner%20%281885-1933%29.md","Haircut--Ring Lardner (1885-1933)")</f>
        <v>Haircut--Ring Lardner (1885-1933)</v>
      </c>
      <c r="P1011" s="11" t="s">
        <v>175</v>
      </c>
      <c r="Q1011" s="21" t="str">
        <f>HYPERLINK("obsidian://open?vault=o2&amp;file=The%20Debian%20Series-users%20and%20groups%20management.md","The Debian Series-users and groups management")</f>
        <v>The Debian Series-users and groups management</v>
      </c>
      <c r="R1011" s="11" t="s">
        <v>175</v>
      </c>
      <c r="S1011" s="21" t="str">
        <f>HYPERLINK("obsidian://open?vault=o2&amp;file=%E2%9A%92%EF%B8%8F%20Orphans.md","⚒️ Orphans")</f>
        <v>⚒️ Orphans</v>
      </c>
      <c r="T1011" s="11" t="s">
        <v>175</v>
      </c>
      <c r="U1011" s="21" t="str">
        <f>HYPERLINK("obsidian://open?vault=o2&amp;file=%F0%9F%93%A5%20The%203-Part%20Daily%20Routine%20For%20Maximum%20Productivity.md","📥 The 3-Part Daily Routine For Maximum Productivity")</f>
        <v>📥 The 3-Part Daily Routine For Maximum Productivity</v>
      </c>
      <c r="V1011" s="11" t="s">
        <v>175</v>
      </c>
      <c r="W1011" s="21" t="str">
        <f>HYPERLINK("obsidian://open?vault=o2&amp;file=Computer%20Cable%20Types.md","Computer Cable Types")</f>
        <v>Computer Cable Types</v>
      </c>
      <c r="X1011" s="11" t="s">
        <v>175</v>
      </c>
      <c r="Y1011" s="21" t="str">
        <f>HYPERLINK("obsidian://open?vault=o2&amp;file=Architects%205%20Step%20Desk%20Setup%20Makeover.md","Architects 5 Step Desk Setup Makeover")</f>
        <v>Architects 5 Step Desk Setup Makeover</v>
      </c>
      <c r="Z1011" s="11" t="s">
        <v>175</v>
      </c>
      <c r="AA1011" s="21" t="str">
        <f>HYPERLINK("obsidian://open?vault=o2&amp;file=My%20Clean%2C%20Modern%20Desk%20Setup%20for%20Productivity%20%26%20Creativity.md","My Clean, Modern Desk Setup for Productivity &amp; Creativity")</f>
        <v>My Clean, Modern Desk Setup for Productivity &amp; Creativity</v>
      </c>
      <c r="AB1011" s="11" t="s">
        <v>175</v>
      </c>
      <c r="AR1011" s="11">
        <f>SUBTOTAL(3,_xlfn.SINGLE(tbl_pros[RowId]))</f>
        <v>1</v>
      </c>
    </row>
    <row r="1012" spans="10:44">
      <c r="J1012" s="4">
        <v>1002</v>
      </c>
      <c r="K1012" s="20" t="s">
        <v>128</v>
      </c>
      <c r="L1012" s="2" t="s">
        <v>1972</v>
      </c>
      <c r="M1012" s="4">
        <v>1</v>
      </c>
      <c r="N1012" s="4" t="s">
        <v>1973</v>
      </c>
      <c r="O1012" s="21" t="str">
        <f>HYPERLINK("obsidian://open?vault=o2&amp;file=Watercolor%20Artist.md","Watercolor Artist")</f>
        <v>Watercolor Artist</v>
      </c>
      <c r="P1012" s="11" t="s">
        <v>175</v>
      </c>
      <c r="AR1012" s="11">
        <f>SUBTOTAL(3,_xlfn.SINGLE(tbl_pros[RowId]))</f>
        <v>1</v>
      </c>
    </row>
    <row r="1013" spans="10:44">
      <c r="J1013" s="4">
        <v>1003</v>
      </c>
      <c r="K1013" s="20" t="s">
        <v>129</v>
      </c>
      <c r="L1013" s="2" t="s">
        <v>1974</v>
      </c>
      <c r="M1013" s="4">
        <v>7</v>
      </c>
      <c r="N1013" s="4" t="s">
        <v>1975</v>
      </c>
      <c r="O1013" s="21" t="str">
        <f>HYPERLINK("obsidian://open?vault=o2&amp;file=Template%20Debrief.md","Template Debrief")</f>
        <v>Template Debrief</v>
      </c>
      <c r="P1013" s="11" t="s">
        <v>175</v>
      </c>
      <c r="Q1013" s="21" t="str">
        <f>HYPERLINK("obsidian://open?vault=o2&amp;file=Dataview%20Toolkit%20by%20Paul%20Dickson%20SubVault.md","Dataview Toolkit by Paul Dickson SubVault")</f>
        <v>Dataview Toolkit by Paul Dickson SubVault</v>
      </c>
      <c r="R1013" s="11" t="s">
        <v>175</v>
      </c>
      <c r="S1013" s="21" t="str">
        <f>HYPERLINK("obsidian://open?vault=o2&amp;file=Obsidian%20Interface%20Menu%20-%20Cheat%20Sheet.md","Obsidian Interface Menu - Cheat Sheet")</f>
        <v>Obsidian Interface Menu - Cheat Sheet</v>
      </c>
      <c r="T1013" s="11" t="s">
        <v>175</v>
      </c>
      <c r="U1013" s="21" t="str">
        <f>HYPERLINK("obsidian://open?vault=o2&amp;file=Paul%20D%20Directory%20Template%20Test.md","Paul D Directory Template Test")</f>
        <v>Paul D Directory Template Test</v>
      </c>
      <c r="V1013" s="11" t="s">
        <v>175</v>
      </c>
      <c r="W1013" s="21" t="str">
        <f>HYPERLINK("obsidian://open?vault=o2&amp;file=Paul%20D%20Directory%20Template.md","Paul D Directory Template")</f>
        <v>Paul D Directory Template</v>
      </c>
      <c r="X1013" s="11" t="s">
        <v>175</v>
      </c>
      <c r="Y1013" s="21" t="str">
        <f>HYPERLINK("obsidian://open?vault=o2&amp;file=Tag%20Taxonomy.md","Tag Taxonomy")</f>
        <v>Tag Taxonomy</v>
      </c>
      <c r="Z1013" s="11" t="s">
        <v>175</v>
      </c>
      <c r="AA1013" s="21" t="str">
        <f>HYPERLINK("obsidian://open?vault=o2&amp;file=YTV%20Template.md","YTV Template")</f>
        <v>YTV Template</v>
      </c>
      <c r="AB1013" s="11" t="s">
        <v>175</v>
      </c>
      <c r="AR1013" s="11">
        <f>SUBTOTAL(3,_xlfn.SINGLE(tbl_pros[RowId]))</f>
        <v>1</v>
      </c>
    </row>
    <row r="1014" spans="10:44">
      <c r="J1014" s="4">
        <v>1004</v>
      </c>
      <c r="K1014" s="20" t="s">
        <v>129</v>
      </c>
      <c r="L1014" s="2" t="s">
        <v>1430</v>
      </c>
      <c r="M1014" s="4">
        <v>19</v>
      </c>
      <c r="N1014" s="4" t="s">
        <v>1976</v>
      </c>
      <c r="O1014" s="21" t="str">
        <f>HYPERLINK("obsidian://open?vault=o2&amp;file=10th%20Step%20Homework.md","10th Step Homework")</f>
        <v>10th Step Homework</v>
      </c>
      <c r="P1014" s="11" t="s">
        <v>175</v>
      </c>
      <c r="Q1014" s="21" t="str">
        <f>HYPERLINK("obsidian://open?vault=o2&amp;file=Creating%20and%20tracking%20your%20own%20habits%20and%20statistics.md","Creating and tracking your own habits and statistics")</f>
        <v>Creating and tracking your own habits and statistics</v>
      </c>
      <c r="R1014" s="11" t="s">
        <v>175</v>
      </c>
      <c r="S1014" s="21" t="str">
        <f>HYPERLINK("obsidian://open?vault=o2&amp;file=Evergreen%20Notes.md","Evergreen Notes")</f>
        <v>Evergreen Notes</v>
      </c>
      <c r="T1014" s="11" t="s">
        <v>175</v>
      </c>
      <c r="U1014" s="21" t="str">
        <f>HYPERLINK("obsidian://open?vault=o2&amp;file=Extra%20Learning%20Resources.md","Extra Learning Resources")</f>
        <v>Extra Learning Resources</v>
      </c>
      <c r="V1014" s="11" t="s">
        <v>175</v>
      </c>
      <c r="W1014" s="21" t="str">
        <f>HYPERLINK("obsidian://open?vault=o2&amp;file=John%27s%20Second%20Brain%20Subvault.md","John's Second Brain Subvault")</f>
        <v>John's Second Brain Subvault</v>
      </c>
      <c r="X1014" s="11" t="s">
        <v>175</v>
      </c>
      <c r="Y1014" s="21" t="str">
        <f>HYPERLINK("obsidian://open?vault=o2&amp;file=Maintain%20notes%20that%20you%20revisit.md","Maintain notes that you revisit")</f>
        <v>Maintain notes that you revisit</v>
      </c>
      <c r="Z1014" s="11" t="s">
        <v>175</v>
      </c>
      <c r="AA1014" s="21" t="str">
        <f>HYPERLINK("obsidian://open?vault=o2&amp;file=Managing%20appearance%20and%20theme.md","Managing appearance and theme")</f>
        <v>Managing appearance and theme</v>
      </c>
      <c r="AB1014" s="11" t="s">
        <v>175</v>
      </c>
      <c r="AC1014" s="21" t="str">
        <f>HYPERLINK("obsidian://open?vault=o2&amp;file=Managing%20inputs.md","Managing inputs")</f>
        <v>Managing inputs</v>
      </c>
      <c r="AD1014" s="11" t="s">
        <v>175</v>
      </c>
      <c r="AE1014" s="21" t="str">
        <f>HYPERLINK("obsidian://open?vault=o2&amp;file=My%20Hotkeys.md","My Hotkeys")</f>
        <v>My Hotkeys</v>
      </c>
      <c r="AF1014" s="11" t="s">
        <v>175</v>
      </c>
      <c r="AG1014" s="21" t="str">
        <f>HYPERLINK("obsidian://open?vault=o2&amp;file=My%20Plugins.md","My Plugins")</f>
        <v>My Plugins</v>
      </c>
      <c r="AH1014" s="11" t="s">
        <v>175</v>
      </c>
      <c r="AI1014" s="21" t="str">
        <f>HYPERLINK("obsidian://open?vault=o2&amp;file=Obsidian%20Community%20Plugins.md","Obsidian Community Plugins")</f>
        <v>Obsidian Community Plugins</v>
      </c>
      <c r="AJ1014" s="11" t="s">
        <v>175</v>
      </c>
      <c r="AK1014" s="21" t="str">
        <f>HYPERLINK("obsidian://open?vault=o2&amp;file=Obsidian%20Tracker%20Plugin.md","Obsidian Tracker Plugin")</f>
        <v>Obsidian Tracker Plugin</v>
      </c>
      <c r="AL1014" s="11" t="s">
        <v>175</v>
      </c>
      <c r="AM1014" s="21" t="str">
        <f>HYPERLINK("obsidian://open?vault=o2&amp;file=PARA%20Method%20in%20Obsidian%20MD.md","PARA Method in Obsidian MD")</f>
        <v>PARA Method in Obsidian MD</v>
      </c>
      <c r="AN1014" s="11" t="s">
        <v>175</v>
      </c>
      <c r="AO1014" s="21" t="str">
        <f>HYPERLINK("obsidian://open?vault=o2&amp;file=Setting%20up%20periodic%20notes.md","Setting up periodic notes")</f>
        <v>Setting up periodic notes</v>
      </c>
      <c r="AP1014" s="11" t="s">
        <v>175</v>
      </c>
      <c r="AQ1014" s="21" t="str">
        <f>HYPERLINK("obsidian://open?vault=o2&amp;file=Turning%20notes%20into%20content.md","Turning notes into content")</f>
        <v>Turning notes into content</v>
      </c>
      <c r="AR1014" s="11">
        <f>SUBTOTAL(3,_xlfn.SINGLE(tbl_pros[RowId]))</f>
        <v>1</v>
      </c>
    </row>
    <row r="1015" spans="10:44">
      <c r="J1015" s="4">
        <v>1005</v>
      </c>
      <c r="K1015" s="20" t="s">
        <v>130</v>
      </c>
      <c r="L1015" s="2" t="s">
        <v>1977</v>
      </c>
      <c r="M1015" s="4">
        <v>1</v>
      </c>
      <c r="N1015" s="4" t="s">
        <v>1978</v>
      </c>
      <c r="O1015" s="21" t="str">
        <f>HYPERLINK("obsidian://open?vault=o2&amp;file=2022-M07.md","2022-M07")</f>
        <v>2022-M07</v>
      </c>
      <c r="P1015" s="11" t="s">
        <v>175</v>
      </c>
      <c r="AR1015" s="11">
        <f>SUBTOTAL(3,_xlfn.SINGLE(tbl_pros[RowId]))</f>
        <v>1</v>
      </c>
    </row>
    <row r="1016" spans="10:44">
      <c r="J1016" s="4">
        <v>1006</v>
      </c>
      <c r="K1016" s="20" t="s">
        <v>130</v>
      </c>
      <c r="L1016" s="2" t="s">
        <v>1979</v>
      </c>
      <c r="M1016" s="4">
        <v>1</v>
      </c>
      <c r="N1016" s="4" t="s">
        <v>1980</v>
      </c>
      <c r="O1016" s="21" t="str">
        <f>HYPERLINK("obsidian://open?vault=o2&amp;file=2022-Q3.md","2022-Q3")</f>
        <v>2022-Q3</v>
      </c>
      <c r="P1016" s="11" t="s">
        <v>175</v>
      </c>
      <c r="AR1016" s="11">
        <f>SUBTOTAL(3,_xlfn.SINGLE(tbl_pros[RowId]))</f>
        <v>1</v>
      </c>
    </row>
    <row r="1017" spans="10:44">
      <c r="J1017" s="4">
        <v>1007</v>
      </c>
      <c r="K1017" s="20" t="s">
        <v>130</v>
      </c>
      <c r="L1017" s="2" t="s">
        <v>1981</v>
      </c>
      <c r="M1017" s="4">
        <v>1</v>
      </c>
      <c r="N1017" s="4" t="s">
        <v>1982</v>
      </c>
      <c r="O1017" s="21" t="str">
        <f>HYPERLINK("obsidian://open?vault=o2&amp;file=2022-W28.md","2022-W28")</f>
        <v>2022-W28</v>
      </c>
      <c r="P1017" s="11" t="s">
        <v>175</v>
      </c>
      <c r="AR1017" s="11">
        <f>SUBTOTAL(3,_xlfn.SINGLE(tbl_pros[RowId]))</f>
        <v>1</v>
      </c>
    </row>
    <row r="1018" spans="10:44">
      <c r="J1018" s="4">
        <v>1008</v>
      </c>
      <c r="K1018" s="20" t="s">
        <v>130</v>
      </c>
      <c r="L1018" s="2" t="s">
        <v>1983</v>
      </c>
      <c r="M1018" s="4">
        <v>1</v>
      </c>
      <c r="N1018" s="4" t="s">
        <v>1984</v>
      </c>
      <c r="O1018" s="21" t="str">
        <f>HYPERLINK("obsidian://open?vault=o2&amp;file=2022.md","2022")</f>
        <v>2022</v>
      </c>
      <c r="P1018" s="11" t="s">
        <v>175</v>
      </c>
      <c r="AR1018" s="11">
        <f>SUBTOTAL(3,_xlfn.SINGLE(tbl_pros[RowId]))</f>
        <v>1</v>
      </c>
    </row>
    <row r="1019" spans="10:44">
      <c r="J1019" s="4">
        <v>1009</v>
      </c>
      <c r="K1019" s="20" t="s">
        <v>130</v>
      </c>
      <c r="L1019" s="2" t="s">
        <v>1985</v>
      </c>
      <c r="M1019" s="4">
        <v>1</v>
      </c>
      <c r="N1019" s="4" t="s">
        <v>1986</v>
      </c>
      <c r="O1019" s="21" t="str">
        <f>HYPERLINK("obsidian://open?vault=o2&amp;file=2024-Q4.md","2024-Q4")</f>
        <v>2024-Q4</v>
      </c>
      <c r="P1019" s="11" t="s">
        <v>175</v>
      </c>
      <c r="AR1019" s="11">
        <f>SUBTOTAL(3,_xlfn.SINGLE(tbl_pros[RowId]))</f>
        <v>1</v>
      </c>
    </row>
    <row r="1020" spans="10:44">
      <c r="J1020" s="4">
        <v>1010</v>
      </c>
      <c r="K1020" s="20" t="s">
        <v>131</v>
      </c>
      <c r="L1020" s="2" t="s">
        <v>1987</v>
      </c>
      <c r="M1020" s="4">
        <v>1</v>
      </c>
      <c r="N1020" s="4" t="s">
        <v>1988</v>
      </c>
      <c r="O1020" s="21" t="str">
        <f>HYPERLINK("obsidian://open?vault=o2&amp;file=22%20FREE%20Windows%20Utilities%20EVERY%20User%20MUST%20Know%20About%21.md","22 FREE Windows Utilities EVERY User MUST Know About!")</f>
        <v>22 FREE Windows Utilities EVERY User MUST Know About!</v>
      </c>
      <c r="P1020" s="11" t="s">
        <v>175</v>
      </c>
      <c r="AR1020" s="11">
        <f>SUBTOTAL(3,_xlfn.SINGLE(tbl_pros[RowId]))</f>
        <v>1</v>
      </c>
    </row>
    <row r="1021" spans="10:44">
      <c r="J1021" s="4">
        <v>1011</v>
      </c>
      <c r="K1021" s="20" t="s">
        <v>131</v>
      </c>
      <c r="L1021" s="2" t="s">
        <v>1989</v>
      </c>
      <c r="M1021" s="4">
        <v>1</v>
      </c>
      <c r="N1021" s="4" t="s">
        <v>1990</v>
      </c>
      <c r="O1021"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P1021" s="11" t="s">
        <v>175</v>
      </c>
      <c r="AR1021" s="11">
        <f>SUBTOTAL(3,_xlfn.SINGLE(tbl_pros[RowId]))</f>
        <v>1</v>
      </c>
    </row>
    <row r="1022" spans="10:44">
      <c r="J1022" s="4">
        <v>1012</v>
      </c>
      <c r="K1022" s="20" t="s">
        <v>131</v>
      </c>
      <c r="L1022" s="2" t="s">
        <v>1991</v>
      </c>
      <c r="M1022" s="4">
        <v>1</v>
      </c>
      <c r="N1022" s="4" t="s">
        <v>1992</v>
      </c>
      <c r="O1022" s="21" t="str">
        <f>HYPERLINK("obsidian://open?vault=o2&amp;file=I%20Made%20an%20App%20that%20KEEPS%20Windows%2011%20Debloated%20%26%20Optimized.md","I Made an App that KEEPS Windows 11 Debloated &amp; Optimized")</f>
        <v>I Made an App that KEEPS Windows 11 Debloated &amp; Optimized</v>
      </c>
      <c r="P1022" s="11" t="s">
        <v>175</v>
      </c>
      <c r="AR1022" s="11">
        <f>SUBTOTAL(3,_xlfn.SINGLE(tbl_pros[RowId]))</f>
        <v>1</v>
      </c>
    </row>
    <row r="1023" spans="10:44">
      <c r="J1023" s="4">
        <v>1013</v>
      </c>
      <c r="K1023" s="20" t="s">
        <v>131</v>
      </c>
      <c r="L1023" s="2" t="s">
        <v>1993</v>
      </c>
      <c r="M1023" s="4">
        <v>1</v>
      </c>
      <c r="N1023" s="4" t="s">
        <v>1994</v>
      </c>
      <c r="O1023" s="21" t="str">
        <f>HYPERLINK("obsidian://open?vault=o2&amp;file=My%20Clean%2C%20Modern%20Desk%20Setup%20for%20Productivity%20%26%20Creativity.md","My Clean, Modern Desk Setup for Productivity &amp; Creativity")</f>
        <v>My Clean, Modern Desk Setup for Productivity &amp; Creativity</v>
      </c>
      <c r="P1023" s="11" t="s">
        <v>175</v>
      </c>
      <c r="AR1023" s="11">
        <f>SUBTOTAL(3,_xlfn.SINGLE(tbl_pros[RowId]))</f>
        <v>1</v>
      </c>
    </row>
    <row r="1024" spans="10:44">
      <c r="J1024" s="4">
        <v>1014</v>
      </c>
      <c r="K1024" s="20" t="s">
        <v>131</v>
      </c>
      <c r="L1024" s="2" t="s">
        <v>1995</v>
      </c>
      <c r="M1024" s="4">
        <v>1</v>
      </c>
      <c r="N1024" s="4" t="s">
        <v>1996</v>
      </c>
      <c r="O1024" s="21" t="str">
        <f>HYPERLINK("obsidian://open?vault=o2&amp;file=The%20Perfect%20Diane%20Sauce%20-%20Chicken%20Diane%20%20Chef%20Jean-Pierre.md","The Perfect Diane Sauce - Chicken Diane  Chef Jean-Pierre")</f>
        <v>The Perfect Diane Sauce - Chicken Diane  Chef Jean-Pierre</v>
      </c>
      <c r="P1024" s="11" t="s">
        <v>175</v>
      </c>
      <c r="AR1024" s="11">
        <f>SUBTOTAL(3,_xlfn.SINGLE(tbl_pros[RowId]))</f>
        <v>1</v>
      </c>
    </row>
    <row r="1025" spans="10:44">
      <c r="J1025" s="4">
        <v>1015</v>
      </c>
      <c r="K1025" s="20" t="s">
        <v>131</v>
      </c>
      <c r="L1025" s="2" t="s">
        <v>1997</v>
      </c>
      <c r="M1025" s="4">
        <v>1</v>
      </c>
      <c r="N1025" s="4" t="s">
        <v>1998</v>
      </c>
      <c r="O1025" s="21" t="str">
        <f>HYPERLINK("obsidian://open?vault=o2&amp;file=Windows%2010%20and%2011%20Wont%20Boot%2C%20How%20To%20Fix%20UEFI%20Partition.md","Windows 10 and 11 Wont Boot, How To Fix UEFI Partition")</f>
        <v>Windows 10 and 11 Wont Boot, How To Fix UEFI Partition</v>
      </c>
      <c r="P1025" s="11" t="s">
        <v>175</v>
      </c>
      <c r="AR1025" s="11">
        <f>SUBTOTAL(3,_xlfn.SINGLE(tbl_pros[RowId]))</f>
        <v>1</v>
      </c>
    </row>
    <row r="1026" spans="10:44">
      <c r="J1026" s="4">
        <v>1016</v>
      </c>
      <c r="K1026" s="20" t="s">
        <v>131</v>
      </c>
      <c r="L1026" s="2" t="s">
        <v>1999</v>
      </c>
      <c r="M1026" s="4">
        <v>1</v>
      </c>
      <c r="N1026" s="4" t="s">
        <v>2000</v>
      </c>
      <c r="O1026" s="21" t="str">
        <f>HYPERLINK("obsidian://open?vault=o2&amp;file=How%20To%20Hide%20Wires%20Behind%20Wall%20-%20NO%20DRYWALL%20REPAIR%20NEEDED%20Hiding%20Wires.md","How To Hide Wires Behind Wall - NO DRYWALL REPAIR NEEDED Hiding Wires")</f>
        <v>How To Hide Wires Behind Wall - NO DRYWALL REPAIR NEEDED Hiding Wires</v>
      </c>
      <c r="P1026" s="11" t="s">
        <v>175</v>
      </c>
      <c r="AR1026" s="11">
        <f>SUBTOTAL(3,_xlfn.SINGLE(tbl_pros[RowId]))</f>
        <v>1</v>
      </c>
    </row>
    <row r="1027" spans="10:44">
      <c r="J1027" s="4">
        <v>1017</v>
      </c>
      <c r="K1027" s="20" t="s">
        <v>131</v>
      </c>
      <c r="L1027" s="2" t="s">
        <v>2001</v>
      </c>
      <c r="M1027" s="4">
        <v>1</v>
      </c>
      <c r="N1027" s="4" t="s">
        <v>2002</v>
      </c>
      <c r="O1027"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1027" s="11" t="s">
        <v>175</v>
      </c>
      <c r="AR1027" s="11">
        <f>SUBTOTAL(3,_xlfn.SINGLE(tbl_pros[RowId]))</f>
        <v>1</v>
      </c>
    </row>
    <row r="1028" spans="10:44">
      <c r="J1028" s="4">
        <v>1018</v>
      </c>
      <c r="K1028" s="20" t="s">
        <v>131</v>
      </c>
      <c r="L1028" s="2" t="s">
        <v>2003</v>
      </c>
      <c r="M1028" s="4">
        <v>1</v>
      </c>
      <c r="N1028" s="4" t="s">
        <v>2004</v>
      </c>
      <c r="O1028"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P1028" s="11" t="s">
        <v>175</v>
      </c>
      <c r="AR1028" s="11">
        <f>SUBTOTAL(3,_xlfn.SINGLE(tbl_pros[RowId]))</f>
        <v>1</v>
      </c>
    </row>
    <row r="1029" spans="10:44">
      <c r="J1029" s="4">
        <v>1019</v>
      </c>
      <c r="K1029" s="20" t="s">
        <v>131</v>
      </c>
      <c r="L1029" s="2" t="s">
        <v>2005</v>
      </c>
      <c r="M1029" s="4">
        <v>1</v>
      </c>
      <c r="N1029" s="4" t="s">
        <v>2006</v>
      </c>
      <c r="O1029" s="21" t="str">
        <f>HYPERLINK("obsidian://open?vault=o2&amp;file=Flat%20Icon%20and%20Shadow%20Using%20The%20Blend%20Tool%20In%20Adobe%20Illustrator.md","Flat Icon and Shadow Using The Blend Tool In Adobe Illustrator")</f>
        <v>Flat Icon and Shadow Using The Blend Tool In Adobe Illustrator</v>
      </c>
      <c r="P1029" s="11" t="s">
        <v>175</v>
      </c>
      <c r="AR1029" s="11">
        <f>SUBTOTAL(3,_xlfn.SINGLE(tbl_pros[RowId]))</f>
        <v>1</v>
      </c>
    </row>
    <row r="1030" spans="10:44">
      <c r="J1030" s="4">
        <v>1020</v>
      </c>
      <c r="K1030" s="20" t="s">
        <v>131</v>
      </c>
      <c r="L1030" s="2" t="s">
        <v>2007</v>
      </c>
      <c r="M1030" s="4">
        <v>1</v>
      </c>
      <c r="N1030" s="4" t="s">
        <v>2008</v>
      </c>
      <c r="O1030" s="21" t="str">
        <f>HYPERLINK("obsidian://open?vault=o2&amp;file=Time%20to%20UNSUBSCRIBE%20from%20Disney%2B%2C%20Netflix%2C%20etc%21.md","Time to UNSUBSCRIBE from Disney+, Netflix, etc!")</f>
        <v>Time to UNSUBSCRIBE from Disney+, Netflix, etc!</v>
      </c>
      <c r="P1030" s="11" t="s">
        <v>175</v>
      </c>
      <c r="AR1030" s="11">
        <f>SUBTOTAL(3,_xlfn.SINGLE(tbl_pros[RowId]))</f>
        <v>1</v>
      </c>
    </row>
    <row r="1031" spans="10:44">
      <c r="J1031" s="4">
        <v>1021</v>
      </c>
      <c r="K1031" s="20" t="s">
        <v>131</v>
      </c>
      <c r="L1031" s="2" t="s">
        <v>2009</v>
      </c>
      <c r="M1031" s="4">
        <v>1</v>
      </c>
      <c r="N1031" s="4" t="s">
        <v>2010</v>
      </c>
      <c r="O1031" s="21" t="str">
        <f>HYPERLINK("obsidian://open?vault=o2&amp;file=Better%20Than%20Grandmas%20Dinner%21%20My%20Parents%20Were%20Stunned%20After%20Trying%20It%21%21%21.md","Better Than Grandmas Dinner! My Parents Were Stunned After Trying It!!!")</f>
        <v>Better Than Grandmas Dinner! My Parents Were Stunned After Trying It!!!</v>
      </c>
      <c r="P1031" s="11" t="s">
        <v>175</v>
      </c>
      <c r="AR1031" s="11">
        <f>SUBTOTAL(3,_xlfn.SINGLE(tbl_pros[RowId]))</f>
        <v>1</v>
      </c>
    </row>
    <row r="1032" spans="10:44">
      <c r="J1032" s="4">
        <v>1022</v>
      </c>
      <c r="K1032" s="20" t="s">
        <v>131</v>
      </c>
      <c r="L1032" s="2" t="s">
        <v>2011</v>
      </c>
      <c r="M1032" s="4">
        <v>1</v>
      </c>
      <c r="N1032" s="4" t="s">
        <v>2012</v>
      </c>
      <c r="O1032" s="21" t="str">
        <f>HYPERLINK("obsidian://open?vault=o2&amp;file=How%20I%20Would%20Learn%20Obsidian%20MD%20%28If%20I%20could%20start%20over%29.md","How I Would Learn Obsidian MD (If I could start over)")</f>
        <v>How I Would Learn Obsidian MD (If I could start over)</v>
      </c>
      <c r="P1032" s="11" t="s">
        <v>175</v>
      </c>
      <c r="AR1032" s="11">
        <f>SUBTOTAL(3,_xlfn.SINGLE(tbl_pros[RowId]))</f>
        <v>1</v>
      </c>
    </row>
    <row r="1033" spans="10:44">
      <c r="J1033" s="4">
        <v>1023</v>
      </c>
      <c r="K1033" s="20" t="s">
        <v>131</v>
      </c>
      <c r="L1033" s="2" t="s">
        <v>2013</v>
      </c>
      <c r="M1033" s="4">
        <v>1</v>
      </c>
      <c r="N1033" s="4" t="s">
        <v>2014</v>
      </c>
      <c r="O1033" s="21" t="str">
        <f>HYPERLINK("obsidian://open?vault=o2&amp;file=8%20Easy%20Food%20Plating%20Hacks%20That%20Will%20Blow%20You%20Away.md","8 Easy Food Plating Hacks That Will Blow You Away")</f>
        <v>8 Easy Food Plating Hacks That Will Blow You Away</v>
      </c>
      <c r="P1033" s="11" t="s">
        <v>175</v>
      </c>
      <c r="AR1033" s="11">
        <f>SUBTOTAL(3,_xlfn.SINGLE(tbl_pros[RowId]))</f>
        <v>1</v>
      </c>
    </row>
    <row r="1034" spans="10:44">
      <c r="J1034" s="4">
        <v>1024</v>
      </c>
      <c r="K1034" s="20" t="s">
        <v>131</v>
      </c>
      <c r="L1034" s="2" t="s">
        <v>2015</v>
      </c>
      <c r="M1034" s="4">
        <v>1</v>
      </c>
      <c r="N1034" s="4" t="s">
        <v>2016</v>
      </c>
      <c r="O1034" s="21" t="str">
        <f>HYPERLINK("obsidian://open?vault=o2&amp;file=Free%20Lightroom%20Tutorial%20%20Adobe%20Lightroom%20Essentials%20Training%20Course.md","Free Lightroom Tutorial  Adobe Lightroom Essentials Training Course")</f>
        <v>Free Lightroom Tutorial  Adobe Lightroom Essentials Training Course</v>
      </c>
      <c r="P1034" s="11" t="s">
        <v>175</v>
      </c>
      <c r="AR1034" s="11">
        <f>SUBTOTAL(3,_xlfn.SINGLE(tbl_pros[RowId]))</f>
        <v>1</v>
      </c>
    </row>
    <row r="1035" spans="10:44">
      <c r="J1035" s="4">
        <v>1025</v>
      </c>
      <c r="K1035" s="20" t="s">
        <v>131</v>
      </c>
      <c r="L1035" s="2" t="s">
        <v>2017</v>
      </c>
      <c r="M1035" s="4">
        <v>1</v>
      </c>
      <c r="N1035" s="4" t="s">
        <v>2018</v>
      </c>
      <c r="O1035"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P1035" s="11" t="s">
        <v>175</v>
      </c>
      <c r="AR1035" s="11">
        <f>SUBTOTAL(3,_xlfn.SINGLE(tbl_pros[RowId]))</f>
        <v>1</v>
      </c>
    </row>
    <row r="1036" spans="10:44">
      <c r="J1036" s="4">
        <v>1026</v>
      </c>
      <c r="K1036" s="20" t="s">
        <v>131</v>
      </c>
      <c r="L1036" s="2" t="s">
        <v>2019</v>
      </c>
      <c r="M1036" s="4">
        <v>1</v>
      </c>
      <c r="N1036" s="4" t="s">
        <v>2020</v>
      </c>
      <c r="O1036" s="21" t="str">
        <f>HYPERLINK("obsidian://open?vault=o2&amp;file=The%20Ultimate%20Cable%20Management%20Tier%20List.md","The Ultimate Cable Management Tier List")</f>
        <v>The Ultimate Cable Management Tier List</v>
      </c>
      <c r="P1036" s="11" t="s">
        <v>175</v>
      </c>
      <c r="AR1036" s="11">
        <f>SUBTOTAL(3,_xlfn.SINGLE(tbl_pros[RowId]))</f>
        <v>1</v>
      </c>
    </row>
    <row r="1037" spans="10:44">
      <c r="J1037" s="4">
        <v>1027</v>
      </c>
      <c r="K1037" s="20" t="s">
        <v>131</v>
      </c>
      <c r="L1037" s="2" t="s">
        <v>2021</v>
      </c>
      <c r="M1037" s="4">
        <v>1</v>
      </c>
      <c r="N1037" s="4" t="s">
        <v>2022</v>
      </c>
      <c r="O1037" s="21" t="str">
        <f>HYPERLINK("obsidian://open?vault=o2&amp;file=20%20AMAZING%20Art%20Workspace%20Hacks%20%28FREE%20or%20cheap%21%29.md","20 AMAZING Art Workspace Hacks (FREE or cheap!)")</f>
        <v>20 AMAZING Art Workspace Hacks (FREE or cheap!)</v>
      </c>
      <c r="P1037" s="11" t="s">
        <v>175</v>
      </c>
      <c r="AR1037" s="11">
        <f>SUBTOTAL(3,_xlfn.SINGLE(tbl_pros[RowId]))</f>
        <v>1</v>
      </c>
    </row>
    <row r="1038" spans="10:44">
      <c r="J1038" s="4">
        <v>1028</v>
      </c>
      <c r="K1038" s="20" t="s">
        <v>132</v>
      </c>
      <c r="L1038" s="2" t="s">
        <v>2023</v>
      </c>
      <c r="M1038" s="4">
        <v>1</v>
      </c>
      <c r="N1038" s="4" t="s">
        <v>2024</v>
      </c>
      <c r="O1038" s="21" t="str">
        <f>HYPERLINK("obsidian://open?vault=o2&amp;file=13%20Crucial%20Questions%20to%20Ask%20a%20Realtor%20When%20Selling.md","13 Crucial Questions to Ask a Realtor When Selling")</f>
        <v>13 Crucial Questions to Ask a Realtor When Selling</v>
      </c>
      <c r="P1038" s="11" t="s">
        <v>175</v>
      </c>
      <c r="AR1038" s="11">
        <f>SUBTOTAL(3,_xlfn.SINGLE(tbl_pros[RowId]))</f>
        <v>1</v>
      </c>
    </row>
    <row r="1039" spans="10:44">
      <c r="J1039" s="4">
        <v>1029</v>
      </c>
      <c r="K1039" s="20" t="s">
        <v>132</v>
      </c>
      <c r="L1039" s="2" t="s">
        <v>2025</v>
      </c>
      <c r="M1039" s="4">
        <v>1</v>
      </c>
      <c r="N1039" s="4" t="s">
        <v>2026</v>
      </c>
      <c r="O1039" s="21" t="str">
        <f>HYPERLINK("obsidian://open?vault=o2&amp;file=17%20Habits%20of%20the%20Self-Destructive%20Person%20%28%2B%20How%20to%20Stop%29.md","17 Habits of the Self-Destructive Person (+ How to Stop)")</f>
        <v>17 Habits of the Self-Destructive Person (+ How to Stop)</v>
      </c>
      <c r="P1039" s="11" t="s">
        <v>175</v>
      </c>
      <c r="AR1039" s="11">
        <f>SUBTOTAL(3,_xlfn.SINGLE(tbl_pros[RowId]))</f>
        <v>1</v>
      </c>
    </row>
    <row r="1040" spans="10:44">
      <c r="J1040" s="4">
        <v>1030</v>
      </c>
      <c r="K1040" s="20" t="s">
        <v>132</v>
      </c>
      <c r="L1040" s="2" t="s">
        <v>180</v>
      </c>
      <c r="M1040" s="4">
        <v>1</v>
      </c>
      <c r="N1040" s="4" t="s">
        <v>2027</v>
      </c>
      <c r="O1040" s="21" t="str">
        <f>HYPERLINK("obsidian://open?vault=o2&amp;file=20%20AMAZING%20Art%20Workspace%20Hacks%20%28FREE%20or%20cheap%21%29.md","20 AMAZING Art Workspace Hacks (FREE or cheap!)")</f>
        <v>20 AMAZING Art Workspace Hacks (FREE or cheap!)</v>
      </c>
      <c r="P1040" s="11" t="s">
        <v>175</v>
      </c>
      <c r="AR1040" s="11">
        <f>SUBTOTAL(3,_xlfn.SINGLE(tbl_pros[RowId]))</f>
        <v>1</v>
      </c>
    </row>
    <row r="1041" spans="10:44">
      <c r="J1041" s="4">
        <v>1031</v>
      </c>
      <c r="K1041" s="20" t="s">
        <v>132</v>
      </c>
      <c r="L1041" s="2" t="s">
        <v>2028</v>
      </c>
      <c r="M1041" s="4">
        <v>1</v>
      </c>
      <c r="N1041" s="4" t="s">
        <v>2029</v>
      </c>
      <c r="O1041" s="21" t="str">
        <f>HYPERLINK("obsidian://open?vault=o2&amp;file=2022%E2%80%99s%20seismic%20shift%20in%20US%20tech%20policy%20will%20change%20how%20we%20innovate.md","2022’s seismic shift in US tech policy will change how we innovate")</f>
        <v>2022’s seismic shift in US tech policy will change how we innovate</v>
      </c>
      <c r="P1041" s="11" t="s">
        <v>175</v>
      </c>
      <c r="AR1041" s="11">
        <f>SUBTOTAL(3,_xlfn.SINGLE(tbl_pros[RowId]))</f>
        <v>1</v>
      </c>
    </row>
    <row r="1042" spans="10:44">
      <c r="J1042" s="4">
        <v>1032</v>
      </c>
      <c r="K1042" s="20" t="s">
        <v>132</v>
      </c>
      <c r="L1042" s="2" t="s">
        <v>182</v>
      </c>
      <c r="M1042" s="4">
        <v>2</v>
      </c>
      <c r="N1042" s="4" t="s">
        <v>2030</v>
      </c>
      <c r="O1042" s="21" t="str">
        <f>HYPERLINK("obsidian://open?vault=o2&amp;file=22%20FREE%20Windows%20Utilities%20EVERY%20User%20MUST%20Know%20About%21.md","22 FREE Windows Utilities EVERY User MUST Know About!")</f>
        <v>22 FREE Windows Utilities EVERY User MUST Know About!</v>
      </c>
      <c r="P1042" s="11" t="s">
        <v>175</v>
      </c>
      <c r="Q1042" s="21" t="str">
        <f>HYPERLINK("obsidian://open?vault=o2&amp;file=22%20FREE%20Windows%20Utilities%20EVERY%20User%20MUST%20Know%20About%21.md","22 FREE Windows Utilities EVERY User MUST Know About!")</f>
        <v>22 FREE Windows Utilities EVERY User MUST Know About!</v>
      </c>
      <c r="R1042" s="11" t="s">
        <v>175</v>
      </c>
      <c r="AR1042" s="11">
        <f>SUBTOTAL(3,_xlfn.SINGLE(tbl_pros[RowId]))</f>
        <v>1</v>
      </c>
    </row>
    <row r="1043" spans="10:44">
      <c r="J1043" s="4">
        <v>1033</v>
      </c>
      <c r="K1043" s="20" t="s">
        <v>132</v>
      </c>
      <c r="L1043" s="2" t="s">
        <v>184</v>
      </c>
      <c r="M1043" s="4">
        <v>1</v>
      </c>
      <c r="N1043" s="4" t="s">
        <v>2031</v>
      </c>
      <c r="O1043" s="21" t="str">
        <f>HYPERLINK("obsidian://open?vault=o2&amp;file=8%20Easy%20Food%20Plating%20Hacks%20That%20Will%20Blow%20You%20Away.md","8 Easy Food Plating Hacks That Will Blow You Away")</f>
        <v>8 Easy Food Plating Hacks That Will Blow You Away</v>
      </c>
      <c r="P1043" s="11" t="s">
        <v>175</v>
      </c>
      <c r="AR1043" s="11">
        <f>SUBTOTAL(3,_xlfn.SINGLE(tbl_pros[RowId]))</f>
        <v>1</v>
      </c>
    </row>
    <row r="1044" spans="10:44">
      <c r="J1044" s="4">
        <v>1034</v>
      </c>
      <c r="K1044" s="20" t="s">
        <v>132</v>
      </c>
      <c r="L1044" s="2" t="s">
        <v>2032</v>
      </c>
      <c r="M1044" s="4">
        <v>1</v>
      </c>
      <c r="N1044" s="4" t="s">
        <v>2033</v>
      </c>
      <c r="O1044" s="21" t="str">
        <f>HYPERLINK("obsidian://open?vault=o2&amp;file=Amazon%E2%80%99s%20Satellite%20Internet%20Won%E2%80%99t%20Need%20a%20Giant%20Antenna.md","Amazon’s Satellite Internet Won’t Need a Giant Antenna")</f>
        <v>Amazon’s Satellite Internet Won’t Need a Giant Antenna</v>
      </c>
      <c r="P1044" s="11" t="s">
        <v>175</v>
      </c>
      <c r="AR1044" s="11">
        <f>SUBTOTAL(3,_xlfn.SINGLE(tbl_pros[RowId]))</f>
        <v>1</v>
      </c>
    </row>
    <row r="1045" spans="10:44">
      <c r="J1045" s="4">
        <v>1035</v>
      </c>
      <c r="K1045" s="20" t="s">
        <v>132</v>
      </c>
      <c r="L1045" s="2" t="s">
        <v>190</v>
      </c>
      <c r="M1045" s="4">
        <v>1</v>
      </c>
      <c r="N1045" s="4" t="s">
        <v>2034</v>
      </c>
      <c r="O1045" s="21" t="str">
        <f>HYPERLINK("obsidian://open?vault=o2&amp;file=Better%20Than%20Grandmas%20Dinner%21%20My%20Parents%20Were%20Stunned%20After%20Trying%20It%21%21%21.md","Better Than Grandmas Dinner! My Parents Were Stunned After Trying It!!!")</f>
        <v>Better Than Grandmas Dinner! My Parents Were Stunned After Trying It!!!</v>
      </c>
      <c r="P1045" s="11" t="s">
        <v>175</v>
      </c>
      <c r="AR1045" s="11">
        <f>SUBTOTAL(3,_xlfn.SINGLE(tbl_pros[RowId]))</f>
        <v>1</v>
      </c>
    </row>
    <row r="1046" spans="10:44">
      <c r="J1046" s="4">
        <v>1036</v>
      </c>
      <c r="K1046" s="20" t="s">
        <v>132</v>
      </c>
      <c r="L1046" s="2" t="s">
        <v>2035</v>
      </c>
      <c r="M1046" s="4">
        <v>1</v>
      </c>
      <c r="N1046" s="4" t="s">
        <v>2036</v>
      </c>
      <c r="O1046" s="21" t="str">
        <f>HYPERLINK("obsidian://open?vault=o2&amp;file=CIA%20Wanted%20His%20Hotel%20as%20Bay%20of%20Pigs%20Haven%2C%20Moore%20Testifies.md","CIA Wanted His Hotel as Bay of Pigs Haven, Moore Testifies")</f>
        <v>CIA Wanted His Hotel as Bay of Pigs Haven, Moore Testifies</v>
      </c>
      <c r="P1046" s="11" t="s">
        <v>175</v>
      </c>
      <c r="AR1046" s="11">
        <f>SUBTOTAL(3,_xlfn.SINGLE(tbl_pros[RowId]))</f>
        <v>1</v>
      </c>
    </row>
    <row r="1047" spans="10:44">
      <c r="J1047" s="4">
        <v>1037</v>
      </c>
      <c r="K1047" s="20" t="s">
        <v>132</v>
      </c>
      <c r="L1047" s="2" t="s">
        <v>2037</v>
      </c>
      <c r="M1047" s="4">
        <v>1</v>
      </c>
      <c r="N1047" s="4" t="s">
        <v>2038</v>
      </c>
      <c r="O1047" s="21" t="str">
        <f>HYPERLINK("obsidian://open?vault=o2&amp;file=CategorySVG%20by%20subject%20-%20Wikimedia%20Commons.md","CategorySVG by subject - Wikimedia Commons")</f>
        <v>CategorySVG by subject - Wikimedia Commons</v>
      </c>
      <c r="P1047" s="11" t="s">
        <v>175</v>
      </c>
      <c r="AR1047" s="11">
        <f>SUBTOTAL(3,_xlfn.SINGLE(tbl_pros[RowId]))</f>
        <v>1</v>
      </c>
    </row>
    <row r="1048" spans="10:44">
      <c r="J1048" s="4">
        <v>1038</v>
      </c>
      <c r="K1048" s="20" t="s">
        <v>132</v>
      </c>
      <c r="L1048" s="2" t="s">
        <v>2039</v>
      </c>
      <c r="M1048" s="4">
        <v>1</v>
      </c>
      <c r="N1048" s="4" t="s">
        <v>2040</v>
      </c>
      <c r="O1048" s="21" t="str">
        <f>HYPERLINK("obsidian://open?vault=o2&amp;file=Do%20Yourself%20a%20Favor%20and%20Go%20Find%20a%20%E2%80%98Third%20Place%E2%80%99.md","Do Yourself a Favor and Go Find a ‘Third Place’")</f>
        <v>Do Yourself a Favor and Go Find a ‘Third Place’</v>
      </c>
      <c r="P1048" s="11" t="s">
        <v>175</v>
      </c>
      <c r="AR1048" s="11">
        <f>SUBTOTAL(3,_xlfn.SINGLE(tbl_pros[RowId]))</f>
        <v>1</v>
      </c>
    </row>
    <row r="1049" spans="10:44">
      <c r="J1049" s="4">
        <v>1039</v>
      </c>
      <c r="K1049" s="20" t="s">
        <v>132</v>
      </c>
      <c r="L1049" s="2" t="s">
        <v>2041</v>
      </c>
      <c r="M1049" s="4">
        <v>1</v>
      </c>
      <c r="N1049" s="4" t="s">
        <v>2042</v>
      </c>
      <c r="O1049"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P1049" s="11" t="s">
        <v>175</v>
      </c>
      <c r="AR1049" s="11">
        <f>SUBTOTAL(3,_xlfn.SINGLE(tbl_pros[RowId]))</f>
        <v>1</v>
      </c>
    </row>
    <row r="1050" spans="10:44">
      <c r="J1050" s="4">
        <v>1040</v>
      </c>
      <c r="K1050" s="20" t="s">
        <v>132</v>
      </c>
      <c r="L1050" s="2" t="s">
        <v>2043</v>
      </c>
      <c r="M1050" s="4">
        <v>1</v>
      </c>
      <c r="N1050" s="4" t="s">
        <v>2044</v>
      </c>
      <c r="O1050"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P1050" s="11" t="s">
        <v>175</v>
      </c>
      <c r="AR1050" s="11">
        <f>SUBTOTAL(3,_xlfn.SINGLE(tbl_pros[RowId]))</f>
        <v>1</v>
      </c>
    </row>
    <row r="1051" spans="10:44">
      <c r="J1051" s="4">
        <v>1041</v>
      </c>
      <c r="K1051" s="20" t="s">
        <v>132</v>
      </c>
      <c r="L1051" s="2" t="s">
        <v>2045</v>
      </c>
      <c r="M1051" s="4">
        <v>1</v>
      </c>
      <c r="N1051" s="4" t="s">
        <v>2046</v>
      </c>
      <c r="O1051"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P1051" s="11" t="s">
        <v>175</v>
      </c>
      <c r="AR1051" s="11">
        <f>SUBTOTAL(3,_xlfn.SINGLE(tbl_pros[RowId]))</f>
        <v>1</v>
      </c>
    </row>
    <row r="1052" spans="10:44">
      <c r="J1052" s="4">
        <v>1042</v>
      </c>
      <c r="K1052" s="20" t="s">
        <v>132</v>
      </c>
      <c r="L1052" s="2" t="s">
        <v>200</v>
      </c>
      <c r="M1052" s="4">
        <v>1</v>
      </c>
      <c r="N1052" s="4" t="s">
        <v>2047</v>
      </c>
      <c r="O1052" s="21" t="str">
        <f>HYPERLINK("obsidian://open?vault=o2&amp;file=Free%20Lightroom%20Tutorial%20%20Adobe%20Lightroom%20Essentials%20Training%20Course.md","Free Lightroom Tutorial  Adobe Lightroom Essentials Training Course")</f>
        <v>Free Lightroom Tutorial  Adobe Lightroom Essentials Training Course</v>
      </c>
      <c r="P1052" s="11" t="s">
        <v>175</v>
      </c>
      <c r="AR1052" s="11">
        <f>SUBTOTAL(3,_xlfn.SINGLE(tbl_pros[RowId]))</f>
        <v>1</v>
      </c>
    </row>
    <row r="1053" spans="10:44">
      <c r="J1053" s="4">
        <v>1043</v>
      </c>
      <c r="K1053" s="20" t="s">
        <v>132</v>
      </c>
      <c r="L1053" s="2" t="s">
        <v>2048</v>
      </c>
      <c r="M1053" s="4">
        <v>1</v>
      </c>
      <c r="N1053" s="4" t="s">
        <v>2049</v>
      </c>
      <c r="O1053"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P1053" s="11" t="s">
        <v>175</v>
      </c>
      <c r="AR1053" s="11">
        <f>SUBTOTAL(3,_xlfn.SINGLE(tbl_pros[RowId]))</f>
        <v>1</v>
      </c>
    </row>
    <row r="1054" spans="10:44">
      <c r="J1054" s="4">
        <v>1044</v>
      </c>
      <c r="K1054" s="20" t="s">
        <v>132</v>
      </c>
      <c r="L1054" s="2" t="s">
        <v>2050</v>
      </c>
      <c r="M1054" s="4">
        <v>1</v>
      </c>
      <c r="N1054" s="4" t="s">
        <v>2051</v>
      </c>
      <c r="O1054" s="21" t="str">
        <f>HYPERLINK("obsidian://open?vault=o2&amp;file=Haircut--Ring%20Lardner%20%281885-1933%29.md","Haircut--Ring Lardner (1885-1933)")</f>
        <v>Haircut--Ring Lardner (1885-1933)</v>
      </c>
      <c r="P1054" s="11" t="s">
        <v>175</v>
      </c>
      <c r="AR1054" s="11">
        <f>SUBTOTAL(3,_xlfn.SINGLE(tbl_pros[RowId]))</f>
        <v>1</v>
      </c>
    </row>
    <row r="1055" spans="10:44">
      <c r="J1055" s="4">
        <v>1045</v>
      </c>
      <c r="K1055" s="20" t="s">
        <v>132</v>
      </c>
      <c r="L1055" s="2" t="s">
        <v>2052</v>
      </c>
      <c r="M1055" s="4">
        <v>1</v>
      </c>
      <c r="N1055" s="4" t="s">
        <v>2053</v>
      </c>
      <c r="O1055" s="21" t="str">
        <f>HYPERLINK("obsidian://open?vault=o2&amp;file=Hotel%20Parkerson%20%20OBX%20Connection%20Message%20Board.md","Hotel Parkerson  OBX Connection Message Board")</f>
        <v>Hotel Parkerson  OBX Connection Message Board</v>
      </c>
      <c r="P1055" s="11" t="s">
        <v>175</v>
      </c>
      <c r="AR1055" s="11">
        <f>SUBTOTAL(3,_xlfn.SINGLE(tbl_pros[RowId]))</f>
        <v>1</v>
      </c>
    </row>
    <row r="1056" spans="10:44">
      <c r="J1056" s="4">
        <v>1046</v>
      </c>
      <c r="K1056" s="20" t="s">
        <v>132</v>
      </c>
      <c r="L1056" s="2" t="s">
        <v>2054</v>
      </c>
      <c r="M1056" s="4">
        <v>1</v>
      </c>
      <c r="N1056" s="4" t="s">
        <v>2055</v>
      </c>
      <c r="O1056"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P1056" s="11" t="s">
        <v>175</v>
      </c>
      <c r="AR1056" s="11">
        <f>SUBTOTAL(3,_xlfn.SINGLE(tbl_pros[RowId]))</f>
        <v>1</v>
      </c>
    </row>
    <row r="1057" spans="10:44">
      <c r="J1057" s="4">
        <v>1047</v>
      </c>
      <c r="K1057" s="20" t="s">
        <v>132</v>
      </c>
      <c r="L1057" s="2" t="s">
        <v>204</v>
      </c>
      <c r="M1057" s="4">
        <v>1</v>
      </c>
      <c r="N1057" s="4" t="s">
        <v>2056</v>
      </c>
      <c r="O1057" s="21" t="str">
        <f>HYPERLINK("obsidian://open?vault=o2&amp;file=How%20I%20Would%20Learn%20Obsidian%20MD%20%28If%20I%20could%20start%20over%29.md","How I Would Learn Obsidian MD (If I could start over)")</f>
        <v>How I Would Learn Obsidian MD (If I could start over)</v>
      </c>
      <c r="P1057" s="11" t="s">
        <v>175</v>
      </c>
      <c r="AR1057" s="11">
        <f>SUBTOTAL(3,_xlfn.SINGLE(tbl_pros[RowId]))</f>
        <v>1</v>
      </c>
    </row>
    <row r="1058" spans="10:44">
      <c r="J1058" s="4">
        <v>1048</v>
      </c>
      <c r="K1058" s="20" t="s">
        <v>132</v>
      </c>
      <c r="L1058" s="2" t="s">
        <v>2057</v>
      </c>
      <c r="M1058" s="4">
        <v>1</v>
      </c>
      <c r="N1058" s="4" t="s">
        <v>2058</v>
      </c>
      <c r="O1058" s="21" t="str">
        <f>HYPERLINK("obsidian://open?vault=o2&amp;file=How%20To%20Cook%20a%20Chicken%20Breast%20-%20FlavCity%20with%20Bobby%20Parrish.md","How To Cook a Chicken Breast - FlavCity with Bobby Parrish")</f>
        <v>How To Cook a Chicken Breast - FlavCity with Bobby Parrish</v>
      </c>
      <c r="P1058" s="11" t="s">
        <v>175</v>
      </c>
      <c r="AR1058" s="11">
        <f>SUBTOTAL(3,_xlfn.SINGLE(tbl_pros[RowId]))</f>
        <v>1</v>
      </c>
    </row>
    <row r="1059" spans="10:44">
      <c r="J1059" s="4">
        <v>1049</v>
      </c>
      <c r="K1059" s="20" t="s">
        <v>132</v>
      </c>
      <c r="L1059" s="2" t="s">
        <v>2059</v>
      </c>
      <c r="M1059" s="4">
        <v>1</v>
      </c>
      <c r="N1059" s="4" t="s">
        <v>2060</v>
      </c>
      <c r="O1059" s="21" t="str">
        <f>HYPERLINK("obsidian://open?vault=o2&amp;file=How%20To%20Enable%20Always-On%20Display%20On%20iPhone%20With%20This%20iOS%20Trick.md","How To Enable Always-On Display On iPhone With This iOS Trick")</f>
        <v>How To Enable Always-On Display On iPhone With This iOS Trick</v>
      </c>
      <c r="P1059" s="11" t="s">
        <v>175</v>
      </c>
      <c r="AR1059" s="11">
        <f>SUBTOTAL(3,_xlfn.SINGLE(tbl_pros[RowId]))</f>
        <v>1</v>
      </c>
    </row>
    <row r="1060" spans="10:44">
      <c r="J1060" s="4">
        <v>1050</v>
      </c>
      <c r="K1060" s="20" t="s">
        <v>132</v>
      </c>
      <c r="L1060" s="2" t="s">
        <v>210</v>
      </c>
      <c r="M1060" s="4">
        <v>1</v>
      </c>
      <c r="N1060" s="4" t="s">
        <v>2061</v>
      </c>
      <c r="O1060" s="21" t="str">
        <f>HYPERLINK("obsidian://open?vault=o2&amp;file=How%20To%20Hide%20Wires%20Behind%20Wall%20-%20NO%20DRYWALL%20REPAIR%20NEEDED%20Hiding%20Wires.md","How To Hide Wires Behind Wall - NO DRYWALL REPAIR NEEDED Hiding Wires")</f>
        <v>How To Hide Wires Behind Wall - NO DRYWALL REPAIR NEEDED Hiding Wires</v>
      </c>
      <c r="P1060" s="11" t="s">
        <v>175</v>
      </c>
      <c r="AR1060" s="11">
        <f>SUBTOTAL(3,_xlfn.SINGLE(tbl_pros[RowId]))</f>
        <v>1</v>
      </c>
    </row>
    <row r="1061" spans="10:44">
      <c r="J1061" s="4">
        <v>1051</v>
      </c>
      <c r="K1061" s="20" t="s">
        <v>132</v>
      </c>
      <c r="L1061" s="2" t="s">
        <v>212</v>
      </c>
      <c r="M1061" s="4">
        <v>1</v>
      </c>
      <c r="N1061" s="4" t="s">
        <v>2062</v>
      </c>
      <c r="O1061" s="21" t="str">
        <f>HYPERLINK("obsidian://open?vault=o2&amp;file=Flat%20Icon%20and%20Shadow%20Using%20The%20Blend%20Tool%20In%20Adobe%20Illustrator.md","Flat Icon and Shadow Using The Blend Tool In Adobe Illustrator")</f>
        <v>Flat Icon and Shadow Using The Blend Tool In Adobe Illustrator</v>
      </c>
      <c r="P1061" s="11" t="s">
        <v>175</v>
      </c>
      <c r="AR1061" s="11">
        <f>SUBTOTAL(3,_xlfn.SINGLE(tbl_pros[RowId]))</f>
        <v>1</v>
      </c>
    </row>
    <row r="1062" spans="10:44">
      <c r="J1062" s="4">
        <v>1052</v>
      </c>
      <c r="K1062" s="20" t="s">
        <v>132</v>
      </c>
      <c r="L1062" s="2" t="s">
        <v>214</v>
      </c>
      <c r="M1062" s="4">
        <v>1</v>
      </c>
      <c r="N1062" s="4" t="s">
        <v>2063</v>
      </c>
      <c r="O1062"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1062" s="11" t="s">
        <v>175</v>
      </c>
      <c r="AR1062" s="11">
        <f>SUBTOTAL(3,_xlfn.SINGLE(tbl_pros[RowId]))</f>
        <v>1</v>
      </c>
    </row>
    <row r="1063" spans="10:44">
      <c r="J1063" s="4">
        <v>1053</v>
      </c>
      <c r="K1063" s="20" t="s">
        <v>132</v>
      </c>
      <c r="L1063" s="2" t="s">
        <v>2064</v>
      </c>
      <c r="M1063" s="4">
        <v>1</v>
      </c>
      <c r="N1063" s="4" t="s">
        <v>2065</v>
      </c>
      <c r="O1063" s="21" t="str">
        <f>HYPERLINK("obsidian://open?vault=o2&amp;file=How%20to%20Create%20So%20Much%20They%20Can%E2%80%99t%20Ignore%20You.md","How to Create So Much They Can’t Ignore You")</f>
        <v>How to Create So Much They Can’t Ignore You</v>
      </c>
      <c r="P1063" s="11" t="s">
        <v>175</v>
      </c>
      <c r="AR1063" s="11">
        <f>SUBTOTAL(3,_xlfn.SINGLE(tbl_pros[RowId]))</f>
        <v>1</v>
      </c>
    </row>
    <row r="1064" spans="10:44">
      <c r="J1064" s="4">
        <v>1054</v>
      </c>
      <c r="K1064" s="20" t="s">
        <v>132</v>
      </c>
      <c r="L1064" s="2" t="s">
        <v>2066</v>
      </c>
      <c r="M1064" s="4">
        <v>1</v>
      </c>
      <c r="N1064" s="4" t="s">
        <v>2067</v>
      </c>
      <c r="O1064" s="21" t="str">
        <f>HYPERLINK("obsidian://open?vault=o2&amp;file=How%20to%20Make%20Changes%20to%20Multiple%20Files%20Using%20Python%20%20Envato%20Tuts%2B.md","How to Make Changes to Multiple Files Using Python  Envato Tuts+")</f>
        <v>How to Make Changes to Multiple Files Using Python  Envato Tuts+</v>
      </c>
      <c r="P1064" s="11" t="s">
        <v>175</v>
      </c>
      <c r="AR1064" s="11">
        <f>SUBTOTAL(3,_xlfn.SINGLE(tbl_pros[RowId]))</f>
        <v>1</v>
      </c>
    </row>
    <row r="1065" spans="10:44">
      <c r="J1065" s="4">
        <v>1055</v>
      </c>
      <c r="K1065" s="20" t="s">
        <v>132</v>
      </c>
      <c r="L1065" s="2" t="s">
        <v>216</v>
      </c>
      <c r="M1065" s="4">
        <v>1</v>
      </c>
      <c r="N1065" s="4" t="s">
        <v>2068</v>
      </c>
      <c r="O1065" s="21" t="str">
        <f>HYPERLINK("obsidian://open?vault=o2&amp;file=I%20Made%20an%20App%20that%20KEEPS%20Windows%2011%20Debloated%20%26%20Optimized.md","I Made an App that KEEPS Windows 11 Debloated &amp; Optimized")</f>
        <v>I Made an App that KEEPS Windows 11 Debloated &amp; Optimized</v>
      </c>
      <c r="P1065" s="11" t="s">
        <v>175</v>
      </c>
      <c r="AR1065" s="11">
        <f>SUBTOTAL(3,_xlfn.SINGLE(tbl_pros[RowId]))</f>
        <v>1</v>
      </c>
    </row>
    <row r="1066" spans="10:44">
      <c r="J1066" s="4">
        <v>1056</v>
      </c>
      <c r="K1066" s="20" t="s">
        <v>132</v>
      </c>
      <c r="L1066" s="2" t="s">
        <v>2069</v>
      </c>
      <c r="M1066" s="4">
        <v>1</v>
      </c>
      <c r="N1066" s="4" t="s">
        <v>2070</v>
      </c>
      <c r="O1066" s="21" t="str">
        <f>HYPERLINK("obsidian://open?vault=o2&amp;file=Kurt%20Vonnegut%E2%80%99s%20Greatest%20Writing%20Advice.md","Kurt Vonnegut’s Greatest Writing Advice")</f>
        <v>Kurt Vonnegut’s Greatest Writing Advice</v>
      </c>
      <c r="P1066" s="11" t="s">
        <v>175</v>
      </c>
      <c r="AR1066" s="11">
        <f>SUBTOTAL(3,_xlfn.SINGLE(tbl_pros[RowId]))</f>
        <v>1</v>
      </c>
    </row>
    <row r="1067" spans="10:44">
      <c r="J1067" s="4">
        <v>1057</v>
      </c>
      <c r="K1067" s="20" t="s">
        <v>132</v>
      </c>
      <c r="L1067" s="2" t="s">
        <v>2071</v>
      </c>
      <c r="M1067" s="4">
        <v>1</v>
      </c>
      <c r="N1067" s="4" t="s">
        <v>2072</v>
      </c>
      <c r="O1067" s="21" t="str">
        <f>HYPERLINK("obsidian://open?vault=o2&amp;file=Learn%20Python%20in%20Y%20Minutes.md","Learn Python in Y Minutes")</f>
        <v>Learn Python in Y Minutes</v>
      </c>
      <c r="P1067" s="11" t="s">
        <v>175</v>
      </c>
      <c r="AR1067" s="11">
        <f>SUBTOTAL(3,_xlfn.SINGLE(tbl_pros[RowId]))</f>
        <v>1</v>
      </c>
    </row>
    <row r="1068" spans="10:44">
      <c r="J1068" s="4">
        <v>1058</v>
      </c>
      <c r="K1068" s="20" t="s">
        <v>132</v>
      </c>
      <c r="L1068" s="2" t="s">
        <v>226</v>
      </c>
      <c r="M1068" s="4">
        <v>1</v>
      </c>
      <c r="N1068" s="4" t="s">
        <v>2073</v>
      </c>
      <c r="O1068" s="21" t="str">
        <f>HYPERLINK("obsidian://open?vault=o2&amp;file=My%20Clean%2C%20Modern%20Desk%20Setup%20for%20Productivity%20%26%20Creativity.md","My Clean, Modern Desk Setup for Productivity &amp; Creativity")</f>
        <v>My Clean, Modern Desk Setup for Productivity &amp; Creativity</v>
      </c>
      <c r="P1068" s="11" t="s">
        <v>175</v>
      </c>
      <c r="AR1068" s="11">
        <f>SUBTOTAL(3,_xlfn.SINGLE(tbl_pros[RowId]))</f>
        <v>1</v>
      </c>
    </row>
    <row r="1069" spans="10:44">
      <c r="J1069" s="4">
        <v>1059</v>
      </c>
      <c r="K1069" s="20" t="s">
        <v>132</v>
      </c>
      <c r="L1069" s="2" t="s">
        <v>2074</v>
      </c>
      <c r="M1069" s="4">
        <v>1</v>
      </c>
      <c r="N1069" s="4" t="s">
        <v>2075</v>
      </c>
      <c r="O1069" s="21" t="str">
        <f>HYPERLINK("obsidian://open?vault=o2&amp;file=Putting%20a%20HALT%20to%20our%20Self-Destructive%20Behaviors%20-%20Pine%20Rest%20Newsroom.md","Putting a HALT to our Self-Destructive Behaviors - Pine Rest Newsroom")</f>
        <v>Putting a HALT to our Self-Destructive Behaviors - Pine Rest Newsroom</v>
      </c>
      <c r="P1069" s="11" t="s">
        <v>175</v>
      </c>
      <c r="AR1069" s="11">
        <f>SUBTOTAL(3,_xlfn.SINGLE(tbl_pros[RowId]))</f>
        <v>1</v>
      </c>
    </row>
    <row r="1070" spans="10:44">
      <c r="J1070" s="4">
        <v>1060</v>
      </c>
      <c r="K1070" s="20" t="s">
        <v>132</v>
      </c>
      <c r="L1070" s="2" t="s">
        <v>2076</v>
      </c>
      <c r="M1070" s="4">
        <v>1</v>
      </c>
      <c r="N1070" s="4" t="s">
        <v>2077</v>
      </c>
      <c r="O1070" s="21" t="str">
        <f>HYPERLINK("obsidian://open?vault=o2&amp;file=Random%20packages%20from%20Walmart.md","Random packages from Walmart")</f>
        <v>Random packages from Walmart</v>
      </c>
      <c r="P1070" s="11" t="s">
        <v>175</v>
      </c>
      <c r="AR1070" s="11">
        <f>SUBTOTAL(3,_xlfn.SINGLE(tbl_pros[RowId]))</f>
        <v>1</v>
      </c>
    </row>
    <row r="1071" spans="10:44">
      <c r="J1071" s="4">
        <v>1061</v>
      </c>
      <c r="K1071" s="20" t="s">
        <v>132</v>
      </c>
      <c r="L1071" s="2" t="s">
        <v>2078</v>
      </c>
      <c r="M1071" s="4">
        <v>1</v>
      </c>
      <c r="N1071" s="4" t="s">
        <v>2079</v>
      </c>
      <c r="O1071" s="21" t="str">
        <f>HYPERLINK("obsidian://open?vault=o2&amp;file=Relaxation%20Techniques.md","Relaxation Techniques")</f>
        <v>Relaxation Techniques</v>
      </c>
      <c r="P1071" s="11" t="s">
        <v>175</v>
      </c>
      <c r="AR1071" s="11">
        <f>SUBTOTAL(3,_xlfn.SINGLE(tbl_pros[RowId]))</f>
        <v>1</v>
      </c>
    </row>
    <row r="1072" spans="10:44">
      <c r="J1072" s="4">
        <v>1062</v>
      </c>
      <c r="K1072" s="20" t="s">
        <v>132</v>
      </c>
      <c r="L1072" s="2" t="s">
        <v>2080</v>
      </c>
      <c r="M1072" s="4">
        <v>1</v>
      </c>
      <c r="N1072" s="4" t="s">
        <v>2081</v>
      </c>
      <c r="O1072" s="21" t="str">
        <f>HYPERLINK("obsidian://open?vault=o2&amp;file=Forget%20ChatGPT-You%20will%20not%20regret%20using%20these%20AI%20tools%20in%202023-Part%202.md","Forget ChatGPT-You will not regret using these AI tools in 2023-Part 2")</f>
        <v>Forget ChatGPT-You will not regret using these AI tools in 2023-Part 2</v>
      </c>
      <c r="P1072" s="11" t="s">
        <v>175</v>
      </c>
      <c r="AR1072" s="11">
        <f>SUBTOTAL(3,_xlfn.SINGLE(tbl_pros[RowId]))</f>
        <v>1</v>
      </c>
    </row>
    <row r="1073" spans="10:44">
      <c r="J1073" s="4">
        <v>1063</v>
      </c>
      <c r="K1073" s="20" t="s">
        <v>132</v>
      </c>
      <c r="L1073" s="2" t="s">
        <v>2082</v>
      </c>
      <c r="M1073" s="4">
        <v>1</v>
      </c>
      <c r="N1073" s="4" t="s">
        <v>2083</v>
      </c>
      <c r="O1073" s="21" t="str">
        <f>HYPERLINK("obsidian://open?vault=o2&amp;file=The%20Food%20Expiration%20Dates%20You%20Should%20Actually%20Follow.md","The Food Expiration Dates You Should Actually Follow")</f>
        <v>The Food Expiration Dates You Should Actually Follow</v>
      </c>
      <c r="P1073" s="11" t="s">
        <v>175</v>
      </c>
      <c r="AR1073" s="11">
        <f>SUBTOTAL(3,_xlfn.SINGLE(tbl_pros[RowId]))</f>
        <v>1</v>
      </c>
    </row>
    <row r="1074" spans="10:44">
      <c r="J1074" s="4">
        <v>1064</v>
      </c>
      <c r="K1074" s="20" t="s">
        <v>132</v>
      </c>
      <c r="L1074" s="2" t="s">
        <v>2084</v>
      </c>
      <c r="M1074" s="4">
        <v>1</v>
      </c>
      <c r="N1074" s="4" t="s">
        <v>2085</v>
      </c>
      <c r="O1074" s="21" t="str">
        <f>HYPERLINK("obsidian://open?vault=o2&amp;file=The%20Growing%20Link%20Between%20Microbes%2C%20Mood%20and%20Mental%20Health.md","The Growing Link Between Microbes, Mood and Mental Health")</f>
        <v>The Growing Link Between Microbes, Mood and Mental Health</v>
      </c>
      <c r="P1074" s="11" t="s">
        <v>175</v>
      </c>
      <c r="AR1074" s="11">
        <f>SUBTOTAL(3,_xlfn.SINGLE(tbl_pros[RowId]))</f>
        <v>1</v>
      </c>
    </row>
    <row r="1075" spans="10:44">
      <c r="J1075" s="4">
        <v>1065</v>
      </c>
      <c r="K1075" s="20" t="s">
        <v>132</v>
      </c>
      <c r="L1075" s="2" t="s">
        <v>238</v>
      </c>
      <c r="M1075" s="4">
        <v>1</v>
      </c>
      <c r="N1075" s="4" t="s">
        <v>2086</v>
      </c>
      <c r="O1075" s="21" t="str">
        <f>HYPERLINK("obsidian://open?vault=o2&amp;file=The%20Perfect%20Diane%20Sauce%20-%20Chicken%20Diane%20%20Chef%20Jean-Pierre.md","The Perfect Diane Sauce - Chicken Diane  Chef Jean-Pierre")</f>
        <v>The Perfect Diane Sauce - Chicken Diane  Chef Jean-Pierre</v>
      </c>
      <c r="P1075" s="11" t="s">
        <v>175</v>
      </c>
      <c r="AR1075" s="11">
        <f>SUBTOTAL(3,_xlfn.SINGLE(tbl_pros[RowId]))</f>
        <v>1</v>
      </c>
    </row>
    <row r="1076" spans="10:44">
      <c r="J1076" s="4">
        <v>1066</v>
      </c>
      <c r="K1076" s="20" t="s">
        <v>132</v>
      </c>
      <c r="L1076" s="2" t="s">
        <v>240</v>
      </c>
      <c r="M1076" s="4">
        <v>1</v>
      </c>
      <c r="N1076" s="4" t="s">
        <v>2087</v>
      </c>
      <c r="O1076" s="21" t="str">
        <f>HYPERLINK("obsidian://open?vault=o2&amp;file=The%20Ultimate%20Cable%20Management%20Tier%20List.md","The Ultimate Cable Management Tier List")</f>
        <v>The Ultimate Cable Management Tier List</v>
      </c>
      <c r="P1076" s="11" t="s">
        <v>175</v>
      </c>
      <c r="AR1076" s="11">
        <f>SUBTOTAL(3,_xlfn.SINGLE(tbl_pros[RowId]))</f>
        <v>1</v>
      </c>
    </row>
    <row r="1077" spans="10:44">
      <c r="J1077" s="4">
        <v>1067</v>
      </c>
      <c r="K1077" s="20" t="s">
        <v>132</v>
      </c>
      <c r="L1077" s="2" t="s">
        <v>242</v>
      </c>
      <c r="M1077" s="4">
        <v>1</v>
      </c>
      <c r="N1077" s="4" t="s">
        <v>2088</v>
      </c>
      <c r="O1077" s="21" t="str">
        <f>HYPERLINK("obsidian://open?vault=o2&amp;file=Time%20to%20UNSUBSCRIBE%20from%20Disney%2B%2C%20Netflix%2C%20etc%21.md","Time to UNSUBSCRIBE from Disney+, Netflix, etc!")</f>
        <v>Time to UNSUBSCRIBE from Disney+, Netflix, etc!</v>
      </c>
      <c r="P1077" s="11" t="s">
        <v>175</v>
      </c>
      <c r="AR1077" s="11">
        <f>SUBTOTAL(3,_xlfn.SINGLE(tbl_pros[RowId]))</f>
        <v>1</v>
      </c>
    </row>
    <row r="1078" spans="10:44">
      <c r="J1078" s="4">
        <v>1068</v>
      </c>
      <c r="K1078" s="20" t="s">
        <v>132</v>
      </c>
      <c r="L1078" s="2" t="s">
        <v>2089</v>
      </c>
      <c r="M1078" s="4">
        <v>1</v>
      </c>
      <c r="N1078" s="4" t="s">
        <v>2090</v>
      </c>
      <c r="O1078"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P1078" s="11" t="s">
        <v>175</v>
      </c>
      <c r="AR1078" s="11">
        <f>SUBTOTAL(3,_xlfn.SINGLE(tbl_pros[RowId]))</f>
        <v>1</v>
      </c>
    </row>
    <row r="1079" spans="10:44">
      <c r="J1079" s="4">
        <v>1069</v>
      </c>
      <c r="K1079" s="20" t="s">
        <v>132</v>
      </c>
      <c r="L1079" s="2" t="s">
        <v>250</v>
      </c>
      <c r="M1079" s="4">
        <v>1</v>
      </c>
      <c r="N1079" s="4" t="s">
        <v>2091</v>
      </c>
      <c r="O1079"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P1079" s="11" t="s">
        <v>175</v>
      </c>
      <c r="AR1079" s="11">
        <f>SUBTOTAL(3,_xlfn.SINGLE(tbl_pros[RowId]))</f>
        <v>1</v>
      </c>
    </row>
    <row r="1080" spans="10:44">
      <c r="J1080" s="4">
        <v>1070</v>
      </c>
      <c r="K1080" s="20" t="s">
        <v>132</v>
      </c>
      <c r="L1080" s="2" t="s">
        <v>2092</v>
      </c>
      <c r="M1080" s="4">
        <v>1</v>
      </c>
      <c r="N1080" s="4" t="s">
        <v>2093</v>
      </c>
      <c r="O1080" s="21" t="str">
        <f>HYPERLINK("obsidian://open?vault=o2&amp;file=Watercolor%20Artist.md","Watercolor Artist")</f>
        <v>Watercolor Artist</v>
      </c>
      <c r="P1080" s="11" t="s">
        <v>175</v>
      </c>
      <c r="AR1080" s="11">
        <f>SUBTOTAL(3,_xlfn.SINGLE(tbl_pros[RowId]))</f>
        <v>1</v>
      </c>
    </row>
    <row r="1081" spans="10:44">
      <c r="J1081" s="4">
        <v>1071</v>
      </c>
      <c r="K1081" s="20" t="s">
        <v>132</v>
      </c>
      <c r="L1081" s="2" t="s">
        <v>2094</v>
      </c>
      <c r="M1081" s="4">
        <v>1</v>
      </c>
      <c r="N1081" s="4" t="s">
        <v>2095</v>
      </c>
      <c r="O1081" s="21" t="str">
        <f>HYPERLINK("obsidian://open?vault=o2&amp;file=What%20is%20Thread%20and%20how%20will%20it%20help%20your%20smart%20home.md","What is Thread and how will it help your smart home")</f>
        <v>What is Thread and how will it help your smart home</v>
      </c>
      <c r="P1081" s="11" t="s">
        <v>175</v>
      </c>
      <c r="AR1081" s="11">
        <f>SUBTOTAL(3,_xlfn.SINGLE(tbl_pros[RowId]))</f>
        <v>1</v>
      </c>
    </row>
    <row r="1082" spans="10:44">
      <c r="J1082" s="4">
        <v>1072</v>
      </c>
      <c r="K1082" s="20" t="s">
        <v>132</v>
      </c>
      <c r="L1082" s="2" t="s">
        <v>2096</v>
      </c>
      <c r="M1082" s="4">
        <v>1</v>
      </c>
      <c r="N1082" s="4" t="s">
        <v>2097</v>
      </c>
      <c r="O1082" s="21" t="str">
        <f>HYPERLINK("obsidian://open?vault=o2&amp;file=Windows%2010%20and%2011%20Wont%20Boot%2C%20How%20To%20Fix%20UEFI%20Partition.md","Windows 10 and 11 Wont Boot, How To Fix UEFI Partition")</f>
        <v>Windows 10 and 11 Wont Boot, How To Fix UEFI Partition</v>
      </c>
      <c r="P1082" s="11" t="s">
        <v>175</v>
      </c>
      <c r="AR1082" s="11">
        <f>SUBTOTAL(3,_xlfn.SINGLE(tbl_pros[RowId]))</f>
        <v>1</v>
      </c>
    </row>
    <row r="1083" spans="10:44">
      <c r="J1083" s="4">
        <v>1073</v>
      </c>
      <c r="K1083" s="20" t="s">
        <v>132</v>
      </c>
      <c r="L1083" s="2" t="s">
        <v>2098</v>
      </c>
      <c r="M1083" s="4">
        <v>1</v>
      </c>
      <c r="N1083" s="4" t="s">
        <v>2099</v>
      </c>
      <c r="O1083" s="21" t="str">
        <f>HYPERLINK("obsidian://open?vault=o2&amp;file=rAutoHotkey%20-%20Unicode%20fractions.md","rAutoHotkey - Unicode fractions")</f>
        <v>rAutoHotkey - Unicode fractions</v>
      </c>
      <c r="P1083" s="11" t="s">
        <v>175</v>
      </c>
      <c r="AR1083" s="11">
        <f>SUBTOTAL(3,_xlfn.SINGLE(tbl_pros[RowId]))</f>
        <v>1</v>
      </c>
    </row>
    <row r="1084" spans="10:44">
      <c r="J1084" s="4">
        <v>1074</v>
      </c>
      <c r="K1084" s="20" t="s">
        <v>132</v>
      </c>
      <c r="L1084" s="2" t="s">
        <v>2100</v>
      </c>
      <c r="M1084" s="4">
        <v>1</v>
      </c>
      <c r="N1084" s="4" t="s">
        <v>2101</v>
      </c>
      <c r="O1084" s="21" t="str">
        <f>HYPERLINK("obsidian://open?vault=o2&amp;file=Python%20Style%20Guide.md","Python Style Guide")</f>
        <v>Python Style Guide</v>
      </c>
      <c r="P1084" s="11" t="s">
        <v>175</v>
      </c>
      <c r="AR1084" s="11">
        <f>SUBTOTAL(3,_xlfn.SINGLE(tbl_pros[RowId]))</f>
        <v>1</v>
      </c>
    </row>
    <row r="1085" spans="10:44">
      <c r="J1085" s="4">
        <v>1075</v>
      </c>
      <c r="K1085" s="20" t="s">
        <v>133</v>
      </c>
      <c r="L1085" s="2" t="s">
        <v>2102</v>
      </c>
      <c r="M1085" s="4">
        <v>49</v>
      </c>
      <c r="N1085" s="4" t="s">
        <v>2103</v>
      </c>
      <c r="O1085" s="21" t="str">
        <f>HYPERLINK("obsidian://open?vault=o2&amp;file=2025-04-03.md","2025-04-03")</f>
        <v>2025-04-03</v>
      </c>
      <c r="P1085" s="11" t="s">
        <v>175</v>
      </c>
      <c r="Q1085" s="21" t="str">
        <f>HYPERLINK("obsidian://open?vault=o2&amp;file=3-Resources.md","3-Resources")</f>
        <v>3-Resources</v>
      </c>
      <c r="R1085" s="11" t="s">
        <v>175</v>
      </c>
      <c r="S1085" s="21" t="str">
        <f>HYPERLINK("obsidian://open?vault=o2&amp;file=2025-02-06.md","2025-02-06")</f>
        <v>2025-02-06</v>
      </c>
      <c r="T1085" s="11" t="s">
        <v>175</v>
      </c>
      <c r="U1085" s="21" t="str">
        <f>HYPERLINK("obsidian://open?vault=o2&amp;file=2025-02-07.md","2025-02-07")</f>
        <v>2025-02-07</v>
      </c>
      <c r="V1085" s="11" t="s">
        <v>175</v>
      </c>
      <c r="W1085" s="21" t="str">
        <f>HYPERLINK("obsidian://open?vault=o2&amp;file=2025-02-08.md","2025-02-08")</f>
        <v>2025-02-08</v>
      </c>
      <c r="X1085" s="11" t="s">
        <v>175</v>
      </c>
      <c r="Y1085" s="21" t="str">
        <f>HYPERLINK("obsidian://open?vault=o2&amp;file=2025-02-09.md","2025-02-09")</f>
        <v>2025-02-09</v>
      </c>
      <c r="Z1085" s="11" t="s">
        <v>175</v>
      </c>
      <c r="AA1085" s="21" t="str">
        <f>HYPERLINK("obsidian://open?vault=o2&amp;file=2025-02-15.md","2025-02-15")</f>
        <v>2025-02-15</v>
      </c>
      <c r="AB1085" s="11" t="s">
        <v>175</v>
      </c>
      <c r="AC1085" s="21" t="str">
        <f>HYPERLINK("obsidian://open?vault=o2&amp;file=2025-02-16.md","2025-02-16")</f>
        <v>2025-02-16</v>
      </c>
      <c r="AD1085" s="11" t="s">
        <v>175</v>
      </c>
      <c r="AE1085" s="21" t="str">
        <f>HYPERLINK("obsidian://open?vault=o2&amp;file=2025-02-17.md","2025-02-17")</f>
        <v>2025-02-17</v>
      </c>
      <c r="AF1085" s="11" t="s">
        <v>175</v>
      </c>
      <c r="AG1085" s="21" t="str">
        <f>HYPERLINK("obsidian://open?vault=o2&amp;file=2025-02-18.md","2025-02-18")</f>
        <v>2025-02-18</v>
      </c>
      <c r="AH1085" s="11" t="s">
        <v>175</v>
      </c>
      <c r="AI1085" s="21" t="str">
        <f>HYPERLINK("obsidian://open?vault=o2&amp;file=2025-02-19.md","2025-02-19")</f>
        <v>2025-02-19</v>
      </c>
      <c r="AJ1085" s="11" t="s">
        <v>175</v>
      </c>
      <c r="AK1085" s="21" t="str">
        <f>HYPERLINK("obsidian://open?vault=o2&amp;file=2025-02-20.md","2025-02-20")</f>
        <v>2025-02-20</v>
      </c>
      <c r="AL1085" s="11" t="s">
        <v>175</v>
      </c>
      <c r="AM1085" s="21" t="str">
        <f>HYPERLINK("obsidian://open?vault=o2&amp;file=2025-02-22.md","2025-02-22")</f>
        <v>2025-02-22</v>
      </c>
      <c r="AN1085" s="11" t="s">
        <v>175</v>
      </c>
      <c r="AO1085" s="21" t="str">
        <f>HYPERLINK("obsidian://open?vault=o2&amp;file=2025-02-23.md","2025-02-23")</f>
        <v>2025-02-23</v>
      </c>
      <c r="AP1085" s="11" t="s">
        <v>175</v>
      </c>
      <c r="AQ1085" s="21" t="str">
        <f>HYPERLINK("obsidian://open?vault=o2&amp;file=2025-02-24.md","2025-02-24")</f>
        <v>2025-02-24</v>
      </c>
      <c r="AR1085" s="11">
        <f>SUBTOTAL(3,_xlfn.SINGLE(tbl_pros[RowId]))</f>
        <v>1</v>
      </c>
    </row>
    <row r="1086" spans="10:44">
      <c r="J1086" s="4">
        <v>1076</v>
      </c>
      <c r="K1086" s="20" t="s">
        <v>133</v>
      </c>
      <c r="L1086" s="22">
        <v>45647</v>
      </c>
      <c r="M1086" s="4">
        <v>24</v>
      </c>
      <c r="N1086" s="4" t="s">
        <v>2104</v>
      </c>
      <c r="O1086" s="21" t="str">
        <f>HYPERLINK("obsidian://open?vault=o2&amp;file=50%20Best%20Christmas%20Movies.md","50 Best Christmas Movies")</f>
        <v>50 Best Christmas Movies</v>
      </c>
      <c r="P1086" s="11" t="s">
        <v>175</v>
      </c>
      <c r="Q1086" s="21" t="str">
        <f>HYPERLINK("obsidian://open?vault=o2&amp;file=Business%20Name%20OSINT.md","Business Name OSINT")</f>
        <v>Business Name OSINT</v>
      </c>
      <c r="R1086" s="11" t="s">
        <v>175</v>
      </c>
      <c r="S1086" s="21" t="str">
        <f>HYPERLINK("obsidian://open?vault=o2&amp;file=Common%20cPanel%20Ports.md","Common cPanel Ports")</f>
        <v>Common cPanel Ports</v>
      </c>
      <c r="T1086" s="11" t="s">
        <v>175</v>
      </c>
      <c r="U1086" s="21" t="str">
        <f>HYPERLINK("obsidian://open?vault=o2&amp;file=Email%20Address%20OSINT.md","Email Address OSINT")</f>
        <v>Email Address OSINT</v>
      </c>
      <c r="V1086" s="11" t="s">
        <v>175</v>
      </c>
      <c r="W1086" s="21" t="str">
        <f>HYPERLINK("obsidian://open?vault=o2&amp;file=Eveline.md","Eveline")</f>
        <v>Eveline</v>
      </c>
      <c r="X1086" s="11" t="s">
        <v>175</v>
      </c>
      <c r="Y1086" s="21" t="str">
        <f>HYPERLINK("obsidian://open?vault=o2&amp;file=Google%20Dorks%202025.md","Google Dorks 2025")</f>
        <v>Google Dorks 2025</v>
      </c>
      <c r="Z1086" s="11" t="s">
        <v>175</v>
      </c>
      <c r="AA1086" s="21" t="str">
        <f>HYPERLINK("obsidian://open?vault=o2&amp;file=Master%20OSINT%20Toolbox.md","Master OSINT Toolbox")</f>
        <v>Master OSINT Toolbox</v>
      </c>
      <c r="AB1086" s="11" t="s">
        <v>175</v>
      </c>
      <c r="AC1086" s="21" t="str">
        <f>HYPERLINK("obsidian://open?vault=o2&amp;file=Notes%20on%20qBitTorrent%20Seup.md","Notes on qBitTorrent Seup")</f>
        <v>Notes on qBitTorrent Seup</v>
      </c>
      <c r="AD1086" s="11" t="s">
        <v>175</v>
      </c>
      <c r="AE1086" s="21" t="str">
        <f>HYPERLINK("obsidian://open?vault=o2&amp;file=Persons%20name%20OSINT.md","Persons name OSINT")</f>
        <v>Persons name OSINT</v>
      </c>
      <c r="AF1086" s="11" t="s">
        <v>175</v>
      </c>
      <c r="AG1086" s="21" t="str">
        <f>HYPERLINK("obsidian://open?vault=o2&amp;file=Phone%20Number%20OSINT.md","Phone Number OSINT")</f>
        <v>Phone Number OSINT</v>
      </c>
      <c r="AH1086" s="11" t="s">
        <v>175</v>
      </c>
      <c r="AI1086" s="21" t="str">
        <f>HYPERLINK("obsidian://open?vault=o2&amp;file=Physical%20Address%20OSINT.md","Physical Address OSINT")</f>
        <v>Physical Address OSINT</v>
      </c>
      <c r="AJ1086" s="11" t="s">
        <v>175</v>
      </c>
      <c r="AK1086" s="21" t="str">
        <f>HYPERLINK("obsidian://open?vault=o2&amp;file=qBitTorrent%20VPN%20Binding%20Steps.md","qBitTorrent VPN Binding Steps")</f>
        <v>qBitTorrent VPN Binding Steps</v>
      </c>
      <c r="AL1086" s="11" t="s">
        <v>175</v>
      </c>
      <c r="AM1086" s="21" t="str">
        <f>HYPERLINK("obsidian://open?vault=o2&amp;file=Roboform%20License.md","Roboform License")</f>
        <v>Roboform License</v>
      </c>
      <c r="AN1086" s="11" t="s">
        <v>175</v>
      </c>
      <c r="AO1086" s="21" t="str">
        <f>HYPERLINK("obsidian://open?vault=o2&amp;file=Social%20Media%20OSINT.md","Social Media OSINT")</f>
        <v>Social Media OSINT</v>
      </c>
      <c r="AP1086" s="11" t="s">
        <v>175</v>
      </c>
      <c r="AQ1086" s="21" t="str">
        <f>HYPERLINK("obsidian://open?vault=o2&amp;file=SWOT.md","SWOT")</f>
        <v>SWOT</v>
      </c>
      <c r="AR1086" s="11">
        <f>SUBTOTAL(3,_xlfn.SINGLE(tbl_pros[RowId]))</f>
        <v>1</v>
      </c>
    </row>
    <row r="1087" spans="10:44">
      <c r="J1087" s="4">
        <v>1077</v>
      </c>
      <c r="K1087" s="20" t="s">
        <v>133</v>
      </c>
      <c r="L1087" s="22">
        <v>45567</v>
      </c>
      <c r="M1087" s="4">
        <v>26</v>
      </c>
      <c r="N1087" s="4" t="s">
        <v>2105</v>
      </c>
      <c r="O1087" s="21" t="str">
        <f>HYPERLINK("obsidian://open?vault=o2&amp;file=Colonoscopy%20Notes.md","Colonoscopy Notes")</f>
        <v>Colonoscopy Notes</v>
      </c>
      <c r="P1087" s="11" t="s">
        <v>175</v>
      </c>
      <c r="Q1087" s="21" t="str">
        <f>HYPERLINK("obsidian://open?vault=o2&amp;file=Jokologue.md","Jokologue")</f>
        <v>Jokologue</v>
      </c>
      <c r="R1087" s="11" t="s">
        <v>175</v>
      </c>
      <c r="S1087" s="21" t="str">
        <f>HYPERLINK("obsidian://open?vault=o2&amp;file=Make%20file%20metadata%20and%20properties%20separate%20concepts.md","Make file metadata and properties separate concepts")</f>
        <v>Make file metadata and properties separate concepts</v>
      </c>
      <c r="T1087" s="11" t="s">
        <v>175</v>
      </c>
      <c r="U1087" s="21" t="str">
        <f>HYPERLINK("obsidian://open?vault=o2&amp;file=My%20Adobe%20CS5.5%20Notes.md","My Adobe CS5.5 Notes")</f>
        <v>My Adobe CS5.5 Notes</v>
      </c>
      <c r="V1087" s="11" t="s">
        <v>175</v>
      </c>
      <c r="W1087" s="21" t="str">
        <f>HYPERLINK("obsidian://open?vault=o2&amp;file=My%20Firefox%20Plugins-2024.md","My Firefox Plugins-2024")</f>
        <v>My Firefox Plugins-2024</v>
      </c>
      <c r="X1087" s="11" t="s">
        <v>175</v>
      </c>
      <c r="Y1087" s="21" t="str">
        <f>HYPERLINK("obsidian://open?vault=o2&amp;file=My%20MediaMonkey%20Notes.md","My MediaMonkey Notes")</f>
        <v>My MediaMonkey Notes</v>
      </c>
      <c r="Z1087" s="11" t="s">
        <v>175</v>
      </c>
      <c r="AA1087" s="21" t="str">
        <f>HYPERLINK("obsidian://open?vault=o2&amp;file=Prism%20Mark%20Syntax%20for%20Colors.md","Prism Mark Syntax for Colors")</f>
        <v>Prism Mark Syntax for Colors</v>
      </c>
      <c r="AB1087" s="11" t="s">
        <v>175</v>
      </c>
      <c r="AC1087" s="21" t="str">
        <f>HYPERLINK("obsidian://open?vault=o2&amp;file=testTasklist.md","testTasklist")</f>
        <v>testTasklist</v>
      </c>
      <c r="AD1087" s="11" t="s">
        <v>175</v>
      </c>
      <c r="AE1087" s="21" t="str">
        <f>HYPERLINK("obsidian://open?vault=o2&amp;file=Untitled.md","Untitled")</f>
        <v>Untitled</v>
      </c>
      <c r="AF1087" s="11" t="s">
        <v>175</v>
      </c>
      <c r="AG1087" s="21" t="str">
        <f>HYPERLINK("obsidian://open?vault=o2&amp;file=What%20I%20did%20to%20fix%20the%20BSOD%20on%20Boot.md","What I did to fix the BSOD on Boot")</f>
        <v>What I did to fix the BSOD on Boot</v>
      </c>
      <c r="AH1087" s="11" t="s">
        <v>175</v>
      </c>
      <c r="AI1087" s="21" t="str">
        <f>HYPERLINK("obsidian://open?vault=o2&amp;file=How%20to%20open%20an%20ssh%20powershell%20into%20CASAOS.md","How to open an ssh powershell into CASAOS")</f>
        <v>How to open an ssh powershell into CASAOS</v>
      </c>
      <c r="AJ1087" s="11" t="s">
        <v>175</v>
      </c>
      <c r="AK1087" s="21" t="str">
        <f>HYPERLINK("obsidian://open?vault=o2&amp;file=Rebuild%20PC.md","Rebuild PC")</f>
        <v>Rebuild PC</v>
      </c>
      <c r="AL1087" s="11" t="s">
        <v>175</v>
      </c>
      <c r="AM1087" s="21" t="str">
        <f>HYPERLINK("obsidian://open?vault=o2&amp;file=Image%20Categorization%20Project%20Definition.md","Image Categorization Project Definition")</f>
        <v>Image Categorization Project Definition</v>
      </c>
      <c r="AN1087" s="11" t="s">
        <v>175</v>
      </c>
      <c r="AO1087" s="21" t="str">
        <f>HYPERLINK("obsidian://open?vault=o2&amp;file=Persons%20Database%20Research.md","Persons Database Research")</f>
        <v>Persons Database Research</v>
      </c>
      <c r="AP1087" s="11" t="s">
        <v>175</v>
      </c>
      <c r="AQ1087" s="21" t="str">
        <f>HYPERLINK("obsidian://open?vault=o2&amp;file=Install%20Hypersnap%209.md","Install Hypersnap 9")</f>
        <v>Install Hypersnap 9</v>
      </c>
      <c r="AR1087" s="11">
        <f>SUBTOTAL(3,_xlfn.SINGLE(tbl_pros[RowId]))</f>
        <v>1</v>
      </c>
    </row>
    <row r="1088" spans="10:44">
      <c r="J1088" s="4">
        <v>1078</v>
      </c>
      <c r="K1088" s="20" t="s">
        <v>133</v>
      </c>
      <c r="L1088" s="22">
        <v>45672</v>
      </c>
      <c r="M1088" s="4">
        <v>24</v>
      </c>
      <c r="N1088" s="4" t="s">
        <v>2106</v>
      </c>
      <c r="O1088" s="21" t="str">
        <f>HYPERLINK("obsidian://open?vault=o2&amp;file=Dataview%20Console%20Log%20Debugging%20Script.md","Dataview Console Log Debugging Script")</f>
        <v>Dataview Console Log Debugging Script</v>
      </c>
      <c r="P1088" s="11" t="s">
        <v>175</v>
      </c>
      <c r="Q1088" s="21" t="str">
        <f>HYPERLINK("obsidian://open?vault=o2&amp;file=Persons%20name.md","Persons name")</f>
        <v>Persons name</v>
      </c>
      <c r="R1088" s="11" t="s">
        <v>175</v>
      </c>
      <c r="S1088" s="21" t="str">
        <f>HYPERLINK("obsidian://open?vault=o2&amp;file=see%20peeps.md","see peeps")</f>
        <v>see peeps</v>
      </c>
      <c r="T1088" s="11" t="s">
        <v>175</v>
      </c>
      <c r="U1088" s="21" t="str">
        <f>HYPERLINK("obsidian://open?vault=o2&amp;file=Simple%20Peeps%20Query.md","Simple Peeps Query")</f>
        <v>Simple Peeps Query</v>
      </c>
      <c r="V1088" s="11" t="s">
        <v>175</v>
      </c>
      <c r="W1088" s="21" t="str">
        <f>HYPERLINK("obsidian://open?vault=o2&amp;file=Untitled%201.md","Untitled 1")</f>
        <v>Untitled 1</v>
      </c>
      <c r="X1088" s="11" t="s">
        <v>175</v>
      </c>
      <c r="Y1088" s="21" t="str">
        <f>HYPERLINK("obsidian://open?vault=o2&amp;file=AA%20Clich%C3%A9s.md","AA Clichés")</f>
        <v>AA Clichés</v>
      </c>
      <c r="Z1088" s="11" t="s">
        <v>175</v>
      </c>
      <c r="AA1088" s="21" t="str">
        <f>HYPERLINK("obsidian://open?vault=o2&amp;file=AA%20Sayings%20and%20One-Liners.md","AA Sayings and One-Liners")</f>
        <v>AA Sayings and One-Liners</v>
      </c>
      <c r="AB1088" s="11" t="s">
        <v>175</v>
      </c>
      <c r="AC1088" s="21" t="str">
        <f>HYPERLINK("obsidian://open?vault=o2&amp;file=AA%20Take%20Us%20Out.md","AA Take Us Out")</f>
        <v>AA Take Us Out</v>
      </c>
      <c r="AD1088" s="11" t="s">
        <v>175</v>
      </c>
      <c r="AE1088" s="21" t="str">
        <f>HYPERLINK("obsidian://open?vault=o2&amp;file=Bike%20Donations%20Flyer.md","Bike Donations Flyer")</f>
        <v>Bike Donations Flyer</v>
      </c>
      <c r="AF1088" s="11" t="s">
        <v>175</v>
      </c>
      <c r="AG1088" s="21" t="str">
        <f>HYPERLINK("obsidian://open?vault=o2&amp;file=Blood%20Glucose%20Levels%20Chart.md","Blood Glucose Levels Chart")</f>
        <v>Blood Glucose Levels Chart</v>
      </c>
      <c r="AH1088" s="11" t="s">
        <v>175</v>
      </c>
      <c r="AI1088" s="21" t="str">
        <f>HYPERLINK("obsidian://open?vault=o2&amp;file=DATAVIEW%20Obsidian%20Plugin-%20Checklist.md","DATAVIEW Obsidian Plugin- Checklist")</f>
        <v>DATAVIEW Obsidian Plugin- Checklist</v>
      </c>
      <c r="AJ1088" s="11" t="s">
        <v>175</v>
      </c>
      <c r="AK1088" s="21" t="str">
        <f>HYPERLINK("obsidian://open?vault=o2&amp;file=MCL%20Multi%20Column.md","MCL Multi Column")</f>
        <v>MCL Multi Column</v>
      </c>
      <c r="AL1088" s="11" t="s">
        <v>175</v>
      </c>
      <c r="AM1088" s="21" t="str">
        <f>HYPERLINK("obsidian://open?vault=o2&amp;file=Obsidian%20Callouts%20for%20Theme%20Testing.md","Obsidian Callouts for Theme Testing")</f>
        <v>Obsidian Callouts for Theme Testing</v>
      </c>
      <c r="AN1088" s="11" t="s">
        <v>175</v>
      </c>
      <c r="AO1088" s="21" t="str">
        <f>HYPERLINK("obsidian://open?vault=o2&amp;file=Obsidian%20Global%20Search%20and%20Replace.md","Obsidian Global Search and Replace")</f>
        <v>Obsidian Global Search and Replace</v>
      </c>
      <c r="AP1088" s="11" t="s">
        <v>175</v>
      </c>
      <c r="AQ1088" s="21" t="str">
        <f>HYPERLINK("obsidian://open?vault=o2&amp;file=Tag%20Usage%20Query1.md","Tag Usage Query1")</f>
        <v>Tag Usage Query1</v>
      </c>
      <c r="AR1088" s="11">
        <f>SUBTOTAL(3,_xlfn.SINGLE(tbl_pros[RowId]))</f>
        <v>1</v>
      </c>
    </row>
    <row r="1089" spans="10:44">
      <c r="J1089" s="4">
        <v>1079</v>
      </c>
      <c r="K1089" s="20" t="s">
        <v>133</v>
      </c>
      <c r="L1089" s="2" t="s">
        <v>2107</v>
      </c>
      <c r="M1089" s="4">
        <v>31</v>
      </c>
      <c r="N1089" s="4" t="s">
        <v>2108</v>
      </c>
      <c r="O1089" s="21" t="str">
        <f>HYPERLINK("obsidian://open?vault=o2&amp;file=Expand%20CasaOS%20App%20Library.md","Expand CasaOS App Library")</f>
        <v>Expand CasaOS App Library</v>
      </c>
      <c r="P1089" s="11" t="s">
        <v>175</v>
      </c>
      <c r="Q1089" s="21" t="str">
        <f>HYPERLINK("obsidian://open?vault=o2&amp;file=Fix%20Drives%20with%20Partition%20Magic.md","Fix Drives with Partition Magic")</f>
        <v>Fix Drives with Partition Magic</v>
      </c>
      <c r="R1089" s="11" t="s">
        <v>175</v>
      </c>
      <c r="S1089" s="21" t="str">
        <f>HYPERLINK("obsidian://open?vault=o2&amp;file=Hotkeys%20Defined.md","Hotkeys Defined")</f>
        <v>Hotkeys Defined</v>
      </c>
      <c r="T1089" s="11" t="s">
        <v>175</v>
      </c>
      <c r="U1089" s="21" t="str">
        <f>HYPERLINK("obsidian://open?vault=o2&amp;file=Latest%20Network%20Mappings.md","Latest Network Mappings")</f>
        <v>Latest Network Mappings</v>
      </c>
      <c r="V1089" s="11" t="s">
        <v>175</v>
      </c>
      <c r="W1089" s="21" t="str">
        <f>HYPERLINK("obsidian://open?vault=o2&amp;file=Make%20a%20USB%20CasaOS%20Recovery%20Drive.md","Make a USB CasaOS Recovery Drive")</f>
        <v>Make a USB CasaOS Recovery Drive</v>
      </c>
      <c r="X1089" s="11" t="s">
        <v>175</v>
      </c>
      <c r="Y1089" s="21" t="str">
        <f>HYPERLINK("obsidian://open?vault=o2&amp;file=Manage%20Users.md","Manage Users")</f>
        <v>Manage Users</v>
      </c>
      <c r="Z1089" s="11" t="s">
        <v>175</v>
      </c>
      <c r="AA1089" s="21" t="str">
        <f>HYPERLINK("obsidian://open?vault=o2&amp;file=Memberships%20and%20Rewards.md","Memberships and Rewards")</f>
        <v>Memberships and Rewards</v>
      </c>
      <c r="AB1089" s="11" t="s">
        <v>175</v>
      </c>
      <c r="AC1089" s="21" t="str">
        <f>HYPERLINK("obsidian://open?vault=o2&amp;file=Port%20Forwarding%20on%20Xfinity.md","Port Forwarding on Xfinity")</f>
        <v>Port Forwarding on Xfinity</v>
      </c>
      <c r="AD1089" s="11" t="s">
        <v>175</v>
      </c>
      <c r="AE1089" s="21" t="str">
        <f>HYPERLINK("obsidian://open?vault=o2&amp;file=Re-installing%20CasaOS.md","Re-installing CasaOS")</f>
        <v>Re-installing CasaOS</v>
      </c>
      <c r="AF1089" s="11" t="s">
        <v>175</v>
      </c>
      <c r="AG1089" s="21" t="str">
        <f>HYPERLINK("obsidian://open?vault=o2&amp;file=Search%20and%20Replace%20in%20Vim.md","Search and Replace in Vim")</f>
        <v>Search and Replace in Vim</v>
      </c>
      <c r="AH1089" s="11" t="s">
        <v>175</v>
      </c>
      <c r="AI1089" s="21" t="str">
        <f>HYPERLINK("obsidian://open?vault=o2&amp;file=Secure%20Remote%20Access.md","Secure Remote Access")</f>
        <v>Secure Remote Access</v>
      </c>
      <c r="AJ1089" s="11" t="s">
        <v>175</v>
      </c>
      <c r="AK1089" s="21" t="str">
        <f>HYPERLINK("obsidian://open?vault=o2&amp;file=Setup%20a%20VPN%20on%20your%20network.md","Setup a VPN on your network")</f>
        <v>Setup a VPN on your network</v>
      </c>
      <c r="AL1089" s="11" t="s">
        <v>175</v>
      </c>
      <c r="AM1089" s="21" t="str">
        <f>HYPERLINK("obsidian://open?vault=o2&amp;file=Setup%20bash%20and%20VIM.md","Setup bash and VIM")</f>
        <v>Setup bash and VIM</v>
      </c>
      <c r="AN1089" s="11" t="s">
        <v>175</v>
      </c>
      <c r="AO1089" s="21" t="str">
        <f>HYPERLINK("obsidian://open?vault=o2&amp;file=Setup%20Certificate.md","Setup Certificate")</f>
        <v>Setup Certificate</v>
      </c>
      <c r="AP1089" s="11" t="s">
        <v>175</v>
      </c>
      <c r="AQ1089" s="21" t="str">
        <f>HYPERLINK("obsidian://open?vault=o2&amp;file=Setup%20DDNS-go.md","Setup DDNS-go")</f>
        <v>Setup DDNS-go</v>
      </c>
      <c r="AR1089" s="11">
        <f>SUBTOTAL(3,_xlfn.SINGLE(tbl_pros[RowId]))</f>
        <v>1</v>
      </c>
    </row>
    <row r="1090" spans="10:44">
      <c r="J1090" s="4">
        <v>1080</v>
      </c>
      <c r="K1090" s="20" t="s">
        <v>133</v>
      </c>
      <c r="L1090" s="2" t="s">
        <v>2109</v>
      </c>
      <c r="M1090" s="4">
        <v>69</v>
      </c>
      <c r="N1090" s="4" t="s">
        <v>2110</v>
      </c>
      <c r="O1090" s="21" t="str">
        <f>HYPERLINK("obsidian://open?vault=o2&amp;file=FacebookDump.md","FacebookDump")</f>
        <v>FacebookDump</v>
      </c>
      <c r="P1090" s="11" t="s">
        <v>175</v>
      </c>
      <c r="Q1090" s="21" t="str">
        <f>HYPERLINK("obsidian://open?vault=o2&amp;file=gEventTest.md","gEventTest")</f>
        <v>gEventTest</v>
      </c>
      <c r="R1090" s="11" t="s">
        <v>175</v>
      </c>
      <c r="S1090" s="21" t="str">
        <f>HYPERLINK("obsidian://open?vault=o2&amp;file=Open%20Task%20Review.md","Open Task Review")</f>
        <v>Open Task Review</v>
      </c>
      <c r="T1090" s="11" t="s">
        <v>175</v>
      </c>
      <c r="U1090" s="21" t="str">
        <f>HYPERLINK("obsidian://open?vault=o2&amp;file=2024-07-22.md","2024-07-22")</f>
        <v>2024-07-22</v>
      </c>
      <c r="V1090" s="11" t="s">
        <v>175</v>
      </c>
      <c r="W1090" s="21" t="str">
        <f>HYPERLINK("obsidian://open?vault=o2&amp;file=2024-09-01.md","2024-09-01")</f>
        <v>2024-09-01</v>
      </c>
      <c r="X1090" s="11" t="s">
        <v>175</v>
      </c>
      <c r="Y1090" s="21" t="str">
        <f>HYPERLINK("obsidian://open?vault=o2&amp;file=2024-10-25.md","2024-10-25")</f>
        <v>2024-10-25</v>
      </c>
      <c r="Z1090" s="11" t="s">
        <v>175</v>
      </c>
      <c r="AA1090" s="21" t="str">
        <f>HYPERLINK("obsidian://open?vault=o2&amp;file=2024-10-28.md","2024-10-28")</f>
        <v>2024-10-28</v>
      </c>
      <c r="AB1090" s="11" t="s">
        <v>175</v>
      </c>
      <c r="AC1090" s="21" t="str">
        <f>HYPERLINK("obsidian://open?vault=o2&amp;file=2024-10-30.md","2024-10-30")</f>
        <v>2024-10-30</v>
      </c>
      <c r="AD1090" s="11" t="s">
        <v>175</v>
      </c>
      <c r="AE1090" s="21" t="str">
        <f>HYPERLINK("obsidian://open?vault=o2&amp;file=2024-11-02.md","2024-11-02")</f>
        <v>2024-11-02</v>
      </c>
      <c r="AF1090" s="11" t="s">
        <v>175</v>
      </c>
      <c r="AG1090" s="21" t="str">
        <f>HYPERLINK("obsidian://open?vault=o2&amp;file=2024-11-03.md","2024-11-03")</f>
        <v>2024-11-03</v>
      </c>
      <c r="AH1090" s="11" t="s">
        <v>175</v>
      </c>
      <c r="AI1090" s="21" t="str">
        <f>HYPERLINK("obsidian://open?vault=o2&amp;file=2024-11-05.md","2024-11-05")</f>
        <v>2024-11-05</v>
      </c>
      <c r="AJ1090" s="11" t="s">
        <v>175</v>
      </c>
      <c r="AK1090" s="21" t="str">
        <f>HYPERLINK("obsidian://open?vault=o2&amp;file=2024-11-06.md","2024-11-06")</f>
        <v>2024-11-06</v>
      </c>
      <c r="AL1090" s="11" t="s">
        <v>175</v>
      </c>
      <c r="AM1090" s="21" t="str">
        <f>HYPERLINK("obsidian://open?vault=o2&amp;file=2024-11-07.md","2024-11-07")</f>
        <v>2024-11-07</v>
      </c>
      <c r="AN1090" s="11" t="s">
        <v>175</v>
      </c>
      <c r="AO1090" s="21" t="str">
        <f>HYPERLINK("obsidian://open?vault=o2&amp;file=2024-11-10.md","2024-11-10")</f>
        <v>2024-11-10</v>
      </c>
      <c r="AP1090" s="11" t="s">
        <v>175</v>
      </c>
      <c r="AQ1090" s="21" t="str">
        <f>HYPERLINK("obsidian://open?vault=o2&amp;file=2024-11-11.md","2024-11-11")</f>
        <v>2024-11-11</v>
      </c>
      <c r="AR1090" s="11">
        <f>SUBTOTAL(3,_xlfn.SINGLE(tbl_pros[RowId]))</f>
        <v>1</v>
      </c>
    </row>
    <row r="1091" spans="10:44">
      <c r="J1091" s="4">
        <v>1081</v>
      </c>
      <c r="K1091" s="20" t="s">
        <v>133</v>
      </c>
      <c r="L1091" s="2" t="s">
        <v>2111</v>
      </c>
      <c r="M1091" s="4">
        <v>49</v>
      </c>
      <c r="N1091" s="4" t="s">
        <v>2112</v>
      </c>
      <c r="O1091" s="21" t="str">
        <f>HYPERLINK("obsidian://open?vault=o2&amp;file=Glossary.md","Glossary")</f>
        <v>Glossary</v>
      </c>
      <c r="P1091" s="11" t="s">
        <v>175</v>
      </c>
      <c r="Q1091" s="21" t="str">
        <f>HYPERLINK("obsidian://open?vault=o2&amp;file=Research%20Cable%20Management.md","Research Cable Management")</f>
        <v>Research Cable Management</v>
      </c>
      <c r="R1091" s="11" t="s">
        <v>175</v>
      </c>
      <c r="S1091" s="21" t="str">
        <f>HYPERLINK("obsidian://open?vault=o2&amp;file=Research%20Desk%20Lighting.md","Research Desk Lighting")</f>
        <v>Research Desk Lighting</v>
      </c>
      <c r="T1091" s="11" t="s">
        <v>175</v>
      </c>
      <c r="U1091" s="21" t="str">
        <f>HYPERLINK("obsidian://open?vault=o2&amp;file=Setup%20Cloudflare.md","Setup Cloudflare")</f>
        <v>Setup Cloudflare</v>
      </c>
      <c r="V1091" s="11" t="s">
        <v>175</v>
      </c>
      <c r="W1091" s="21" t="str">
        <f>HYPERLINK("obsidian://open?vault=o2&amp;file=Setup%20Nginx%20Proxy%20Manager.md","Setup Nginx Proxy Manager")</f>
        <v>Setup Nginx Proxy Manager</v>
      </c>
      <c r="X1091" s="11" t="s">
        <v>175</v>
      </c>
      <c r="Y1091" s="21" t="str">
        <f>HYPERLINK("obsidian://open?vault=o2&amp;file=Setup%20Prowlarr.md","Setup Prowlarr")</f>
        <v>Setup Prowlarr</v>
      </c>
      <c r="Z1091" s="11" t="s">
        <v>175</v>
      </c>
      <c r="AA1091" s="21" t="str">
        <f>HYPERLINK("obsidian://open?vault=o2&amp;file=Setup%20Radarr.md","Setup Radarr")</f>
        <v>Setup Radarr</v>
      </c>
      <c r="AB1091" s="11" t="s">
        <v>175</v>
      </c>
      <c r="AC1091" s="21" t="str">
        <f>HYPERLINK("obsidian://open?vault=o2&amp;file=Setup%20Servarr.md","Setup Servarr")</f>
        <v>Setup Servarr</v>
      </c>
      <c r="AD1091" s="11" t="s">
        <v>175</v>
      </c>
      <c r="AE1091" s="21" t="str">
        <f>HYPERLINK("obsidian://open?vault=o2&amp;file=Setup%20Wireguard.md","Setup Wireguard")</f>
        <v>Setup Wireguard</v>
      </c>
      <c r="AF1091" s="11" t="s">
        <v>175</v>
      </c>
      <c r="AG1091" s="21" t="str">
        <f>HYPERLINK("obsidian://open?vault=o2&amp;file=A%20Brief%20Explanation%20of%20How%20Servarr%27s%20Work.md","A Brief Explanation of How Servarr's Work")</f>
        <v>A Brief Explanation of How Servarr's Work</v>
      </c>
      <c r="AH1091" s="11" t="s">
        <v>175</v>
      </c>
      <c r="AI1091" s="21" t="str">
        <f>HYPERLINK("obsidian://open?vault=o2&amp;file=CasaOS%20Clean%20Re-install%20Step-by-Step.md","CasaOS Clean Re-install Step-by-Step")</f>
        <v>CasaOS Clean Re-install Step-by-Step</v>
      </c>
      <c r="AJ1091" s="11" t="s">
        <v>175</v>
      </c>
      <c r="AK1091" s="21" t="str">
        <f>HYPERLINK("obsidian://open?vault=o2&amp;file=Cloudflare%20Two-Factor%20Auth.md","Cloudflare Two-Factor Auth")</f>
        <v>Cloudflare Two-Factor Auth</v>
      </c>
      <c r="AL1091" s="11" t="s">
        <v>175</v>
      </c>
      <c r="AM1091" s="21" t="str">
        <f>HYPERLINK("obsidian://open?vault=o2&amp;file=Free%20DNS%20Servers.md","Free DNS Servers")</f>
        <v>Free DNS Servers</v>
      </c>
      <c r="AN1091" s="11" t="s">
        <v>175</v>
      </c>
      <c r="AO1091" s="21" t="str">
        <f>HYPERLINK("obsidian://open?vault=o2&amp;file=How%20to%20Disable%20IPV6.md","How to Disable IPV6")</f>
        <v>How to Disable IPV6</v>
      </c>
      <c r="AP1091" s="11" t="s">
        <v>175</v>
      </c>
      <c r="AQ1091" s="21" t="str">
        <f>HYPERLINK("obsidian://open?vault=o2&amp;file=Install%20Expanded%20App%20Store.md","Install Expanded App Store")</f>
        <v>Install Expanded App Store</v>
      </c>
      <c r="AR1091" s="11">
        <f>SUBTOTAL(3,_xlfn.SINGLE(tbl_pros[RowId]))</f>
        <v>1</v>
      </c>
    </row>
    <row r="1092" spans="10:44">
      <c r="J1092" s="4">
        <v>1082</v>
      </c>
      <c r="K1092" s="20" t="s">
        <v>133</v>
      </c>
      <c r="L1092" s="2" t="s">
        <v>2113</v>
      </c>
      <c r="M1092" s="4">
        <v>43</v>
      </c>
      <c r="N1092" s="4" t="s">
        <v>2114</v>
      </c>
      <c r="O1092" s="21" t="str">
        <f>HYPERLINK("obsidian://open?vault=o2&amp;file=Managing%20and%20growing%20evergreen%20notes.md","Managing and growing evergreen notes")</f>
        <v>Managing and growing evergreen notes</v>
      </c>
      <c r="P1092" s="11" t="s">
        <v>175</v>
      </c>
      <c r="Q1092" s="21" t="str">
        <f>HYPERLINK("obsidian://open?vault=o2&amp;file=%F0%9F%93%8C%20Cheatsheet%20Library%20Kanban.md","📌 Cheatsheet Library Kanban")</f>
        <v>📌 Cheatsheet Library Kanban</v>
      </c>
      <c r="R1092" s="11" t="s">
        <v>175</v>
      </c>
      <c r="S1092" s="21" t="str">
        <f>HYPERLINK("obsidian://open?vault=o2&amp;file=%F0%9F%93%8C%20Debug%20metaCatchall.md","📌 Debug metaCatchall")</f>
        <v>📌 Debug metaCatchall</v>
      </c>
      <c r="T1092" s="11" t="s">
        <v>175</v>
      </c>
      <c r="U1092" s="21" t="str">
        <f>HYPERLINK("obsidian://open?vault=o2&amp;file=%F0%9F%93%8C%20Home%20Project%20Kanban.md","📌 Home Project Kanban")</f>
        <v>📌 Home Project Kanban</v>
      </c>
      <c r="V1092" s="11" t="s">
        <v>175</v>
      </c>
      <c r="W1092" s="21" t="str">
        <f>HYPERLINK("obsidian://open?vault=o2&amp;file=%F0%9F%93%8C%20Image%20Categorization%20Kanban.md","📌 Image Categorization Kanban")</f>
        <v>📌 Image Categorization Kanban</v>
      </c>
      <c r="X1092" s="11" t="s">
        <v>175</v>
      </c>
      <c r="Y1092" s="21" t="str">
        <f>HYPERLINK("obsidian://open?vault=o2&amp;file=%F0%9F%93%8C%20Learning%20iOS%20Kanban.md","📌 Learning iOS Kanban")</f>
        <v>📌 Learning iOS Kanban</v>
      </c>
      <c r="Z1092" s="11" t="s">
        <v>175</v>
      </c>
      <c r="AA1092" s="21" t="str">
        <f>HYPERLINK("obsidian://open?vault=o2&amp;file=%F0%9F%93%8C%20Media%20Project%20Kanban.md","📌 Media Project Kanban")</f>
        <v>📌 Media Project Kanban</v>
      </c>
      <c r="AB1092" s="11" t="s">
        <v>175</v>
      </c>
      <c r="AC1092" s="21" t="str">
        <f>HYPERLINK("obsidian://open?vault=o2&amp;file=%F0%9F%93%8C%20Money%20Management%20Kanban.md","📌 Money Management Kanban")</f>
        <v>📌 Money Management Kanban</v>
      </c>
      <c r="AD1092" s="11" t="s">
        <v>175</v>
      </c>
      <c r="AE1092" s="21" t="str">
        <f>HYPERLINK("obsidian://open?vault=o2&amp;file=%F0%9F%93%8C%20My%20Obsidian%20Kanban.md","📌 My Obsidian Kanban")</f>
        <v>📌 My Obsidian Kanban</v>
      </c>
      <c r="AF1092" s="11" t="s">
        <v>175</v>
      </c>
      <c r="AG1092" s="21" t="str">
        <f>HYPERLINK("obsidian://open?vault=o2&amp;file=%F0%9F%93%8C%20Obsidian%20Setup%20Kanban.md","📌 Obsidian Setup Kanban")</f>
        <v>📌 Obsidian Setup Kanban</v>
      </c>
      <c r="AH1092" s="11" t="s">
        <v>175</v>
      </c>
      <c r="AI1092" s="21" t="str">
        <f>HYPERLINK("obsidian://open?vault=o2&amp;file=%F0%9F%93%8C%20Office%20Desk%20Design%20Kanban.md","📌 Office Desk Design Kanban")</f>
        <v>📌 Office Desk Design Kanban</v>
      </c>
      <c r="AJ1092" s="11" t="s">
        <v>175</v>
      </c>
      <c r="AK1092" s="21" t="str">
        <f>HYPERLINK("obsidian://open?vault=o2&amp;file=%F0%9F%93%8C%20Print%20On%20Demand%20Kanban.md","📌 Print On Demand Kanban")</f>
        <v>📌 Print On Demand Kanban</v>
      </c>
      <c r="AL1092" s="11" t="s">
        <v>175</v>
      </c>
      <c r="AM1092" s="21" t="str">
        <f>HYPERLINK("obsidian://open?vault=o2&amp;file=%F0%9F%93%8C%20Recipe%20Database%20and%20Cookbook.md","📌 Recipe Database and Cookbook")</f>
        <v>📌 Recipe Database and Cookbook</v>
      </c>
      <c r="AN1092" s="11" t="s">
        <v>175</v>
      </c>
      <c r="AO1092" s="21" t="str">
        <f>HYPERLINK("obsidian://open?vault=o2&amp;file=%F0%9F%93%8C%20Setup%20Linode%20Server%20Kanban.md","📌 Setup Linode Server Kanban")</f>
        <v>📌 Setup Linode Server Kanban</v>
      </c>
      <c r="AP1092" s="11" t="s">
        <v>175</v>
      </c>
      <c r="AQ1092" s="21" t="str">
        <f>HYPERLINK("obsidian://open?vault=o2&amp;file=Advanced%20regular%20expression%20features%20to%20match%20Markdown%20links.md","Advanced regular expression features to match Markdown links")</f>
        <v>Advanced regular expression features to match Markdown links</v>
      </c>
      <c r="AR1092" s="11">
        <f>SUBTOTAL(3,_xlfn.SINGLE(tbl_pros[RowId]))</f>
        <v>1</v>
      </c>
    </row>
    <row r="1093" spans="10:44">
      <c r="J1093" s="4">
        <v>1083</v>
      </c>
      <c r="K1093" s="20" t="s">
        <v>133</v>
      </c>
      <c r="L1093" s="2" t="s">
        <v>2115</v>
      </c>
      <c r="M1093" s="4">
        <v>8</v>
      </c>
      <c r="N1093" s="4" t="s">
        <v>2116</v>
      </c>
      <c r="O1093" s="21" t="str">
        <f>HYPERLINK("obsidian://open?vault=o2&amp;file=%F0%9F%92%A1%20AA%20Meeting%20Topics.md","💡 AA Meeting Topics")</f>
        <v>💡 AA Meeting Topics</v>
      </c>
      <c r="P1093" s="11" t="s">
        <v>175</v>
      </c>
      <c r="Q1093" s="21" t="str">
        <f>HYPERLINK("obsidian://open?vault=o2&amp;file=%F0%9F%92%A1%20Create%20a%20JS%20tool%20to%20do%20scoped%20searches.md","💡 Create a JS tool to do scoped searches")</f>
        <v>💡 Create a JS tool to do scoped searches</v>
      </c>
      <c r="R1093" s="11" t="s">
        <v>175</v>
      </c>
      <c r="S1093" s="21" t="str">
        <f>HYPERLINK("obsidian://open?vault=o2&amp;file=%F0%9F%92%A1%20Idea%20to%20extend%20v_chk%20Wb%20Engine.md","💡 Idea to extend v_chk Wb Engine")</f>
        <v>💡 Idea to extend v_chk Wb Engine</v>
      </c>
      <c r="T1093" s="11" t="s">
        <v>175</v>
      </c>
      <c r="U1093" s="21" t="str">
        <f>HYPERLINK("obsidian://open?vault=o2&amp;file=%F0%9F%92%A1%20Color%20Study%20for%20OpenPyXl%20and%20v_chk.md","💡 Color Study for OpenPyXl and v_chk")</f>
        <v>💡 Color Study for OpenPyXl and v_chk</v>
      </c>
      <c r="V1093" s="11" t="s">
        <v>175</v>
      </c>
      <c r="W1093" s="21" t="str">
        <f>HYPERLINK("obsidian://open?vault=o2&amp;file=%F0%9F%92%A1%20Poetry%20Ideas.md","💡 Poetry Ideas")</f>
        <v>💡 Poetry Ideas</v>
      </c>
      <c r="X1093" s="11" t="s">
        <v>175</v>
      </c>
      <c r="Y1093" s="21" t="str">
        <f>HYPERLINK("obsidian://open?vault=o2&amp;file=Brainstorming%20Template.md","Brainstorming Template")</f>
        <v>Brainstorming Template</v>
      </c>
      <c r="Z1093" s="11" t="s">
        <v>175</v>
      </c>
      <c r="AA1093" s="21" t="str">
        <f>HYPERLINK("obsidian://open?vault=o2&amp;file=Book%20Application%20Template.md","Book Application Template")</f>
        <v>Book Application Template</v>
      </c>
      <c r="AB1093" s="11" t="s">
        <v>175</v>
      </c>
      <c r="AC1093" s="21" t="str">
        <f>HYPERLINK("obsidian://open?vault=o2&amp;file=Code%20Doc%20Template.md","Code Doc Template")</f>
        <v>Code Doc Template</v>
      </c>
      <c r="AD1093" s="11" t="s">
        <v>175</v>
      </c>
      <c r="AR1093" s="11">
        <f>SUBTOTAL(3,_xlfn.SINGLE(tbl_pros[RowId]))</f>
        <v>1</v>
      </c>
    </row>
    <row r="1094" spans="10:44">
      <c r="J1094" s="4">
        <v>1084</v>
      </c>
      <c r="K1094" s="20" t="s">
        <v>133</v>
      </c>
      <c r="L1094" s="2" t="s">
        <v>2117</v>
      </c>
      <c r="M1094" s="4">
        <v>1</v>
      </c>
      <c r="N1094" s="4" t="s">
        <v>2118</v>
      </c>
      <c r="O1094" s="21" t="str">
        <f>HYPERLINK("obsidian://open?vault=o2&amp;file=%F0%9F%92%A1%20test9.md","💡 test9")</f>
        <v>💡 test9</v>
      </c>
      <c r="P1094" s="11" t="s">
        <v>175</v>
      </c>
      <c r="AR1094" s="11">
        <f>SUBTOTAL(3,_xlfn.SINGLE(tbl_pros[RowId]))</f>
        <v>1</v>
      </c>
    </row>
    <row r="1095" spans="10:44">
      <c r="J1095" s="4">
        <v>1085</v>
      </c>
      <c r="K1095" s="20" t="s">
        <v>133</v>
      </c>
      <c r="L1095" s="22">
        <v>45703</v>
      </c>
      <c r="M1095" s="4">
        <v>4</v>
      </c>
      <c r="N1095" s="4" t="s">
        <v>2119</v>
      </c>
      <c r="O1095" s="21" t="str">
        <f>HYPERLINK("obsidian://open?vault=o2&amp;file=0-Inbox.md","0-Inbox")</f>
        <v>0-Inbox</v>
      </c>
      <c r="P1095" s="11" t="s">
        <v>175</v>
      </c>
      <c r="Q1095" s="21" t="str">
        <f>HYPERLINK("obsidian://open?vault=o2&amp;file=4-Archives.md","4-Archives")</f>
        <v>4-Archives</v>
      </c>
      <c r="R1095" s="11" t="s">
        <v>175</v>
      </c>
      <c r="S1095" s="21" t="str">
        <f>HYPERLINK("obsidian://open?vault=o2&amp;file=5-Misc.md","5-Misc")</f>
        <v>5-Misc</v>
      </c>
      <c r="T1095" s="11" t="s">
        <v>175</v>
      </c>
      <c r="U1095" s="21" t="str">
        <f>HYPERLINK("obsidian://open?vault=o2&amp;file=6-Journal.md","6-Journal")</f>
        <v>6-Journal</v>
      </c>
      <c r="V1095" s="11" t="s">
        <v>175</v>
      </c>
      <c r="AR1095" s="11">
        <f>SUBTOTAL(3,_xlfn.SINGLE(tbl_pros[RowId]))</f>
        <v>1</v>
      </c>
    </row>
    <row r="1096" spans="10:44">
      <c r="J1096" s="4">
        <v>1086</v>
      </c>
      <c r="K1096" s="20" t="s">
        <v>133</v>
      </c>
      <c r="L1096" s="22">
        <v>45694</v>
      </c>
      <c r="M1096" s="4">
        <v>1</v>
      </c>
      <c r="N1096" s="4" t="s">
        <v>2120</v>
      </c>
      <c r="O1096" s="21" t="str">
        <f>HYPERLINK("obsidian://open?vault=o2&amp;file=%E2%9A%A1%20Home%20Project.md","⚡ Home Project")</f>
        <v>⚡ Home Project</v>
      </c>
      <c r="P1096" s="11" t="s">
        <v>175</v>
      </c>
      <c r="AR1096" s="11">
        <f>SUBTOTAL(3,_xlfn.SINGLE(tbl_pros[RowId]))</f>
        <v>1</v>
      </c>
    </row>
    <row r="1097" spans="10:44">
      <c r="J1097" s="4">
        <v>1087</v>
      </c>
      <c r="K1097" s="20" t="s">
        <v>133</v>
      </c>
      <c r="L1097" s="22">
        <v>45750</v>
      </c>
      <c r="M1097" s="4">
        <v>1</v>
      </c>
      <c r="N1097" s="4" t="s">
        <v>2121</v>
      </c>
      <c r="O1097" s="21" t="str">
        <f>HYPERLINK("obsidian://open?vault=o2&amp;file=%E2%9A%A1%20Learn%20Python%20and%20OOP%20Project.md","⚡ Learn Python and OOP Project")</f>
        <v>⚡ Learn Python and OOP Project</v>
      </c>
      <c r="P1097" s="11" t="s">
        <v>175</v>
      </c>
      <c r="AR1097" s="11">
        <f>SUBTOTAL(3,_xlfn.SINGLE(tbl_pros[RowId]))</f>
        <v>1</v>
      </c>
    </row>
    <row r="1098" spans="10:44">
      <c r="J1098" s="4">
        <v>1088</v>
      </c>
      <c r="K1098" s="20" t="s">
        <v>133</v>
      </c>
      <c r="L1098" s="2" t="s">
        <v>2122</v>
      </c>
      <c r="M1098" s="4">
        <v>1</v>
      </c>
      <c r="N1098" s="4" t="s">
        <v>2123</v>
      </c>
      <c r="O1098" s="21" t="str">
        <f>HYPERLINK("obsidian://open?vault=o2&amp;file=Daily%20Prayers.md","Daily Prayers")</f>
        <v>Daily Prayers</v>
      </c>
      <c r="P1098" s="11" t="s">
        <v>175</v>
      </c>
      <c r="AR1098" s="11">
        <f>SUBTOTAL(3,_xlfn.SINGLE(tbl_pros[RowId]))</f>
        <v>1</v>
      </c>
    </row>
    <row r="1099" spans="10:44">
      <c r="J1099" s="4">
        <v>1089</v>
      </c>
      <c r="K1099" s="20" t="s">
        <v>133</v>
      </c>
      <c r="L1099" s="2" t="s">
        <v>2124</v>
      </c>
      <c r="M1099" s="4">
        <v>1</v>
      </c>
      <c r="N1099" s="4" t="s">
        <v>2125</v>
      </c>
      <c r="O1099" s="21" t="str">
        <f>HYPERLINK("obsidian://open?vault=o2&amp;file=My%20Medical%20Info.md","My Medical Info")</f>
        <v>My Medical Info</v>
      </c>
      <c r="P1099" s="11" t="s">
        <v>175</v>
      </c>
      <c r="AR1099" s="11">
        <f>SUBTOTAL(3,_xlfn.SINGLE(tbl_pros[RowId]))</f>
        <v>1</v>
      </c>
    </row>
    <row r="1100" spans="10:44">
      <c r="J1100" s="4">
        <v>1090</v>
      </c>
      <c r="K1100" s="20" t="s">
        <v>133</v>
      </c>
      <c r="L1100" s="22">
        <v>45187</v>
      </c>
      <c r="M1100" s="4">
        <v>1</v>
      </c>
      <c r="N1100" s="4" t="s">
        <v>2126</v>
      </c>
      <c r="O1100" s="21" t="str">
        <f>HYPERLINK("obsidian://open?vault=o2&amp;file=2023-09-18.md","2023-09-18")</f>
        <v>2023-09-18</v>
      </c>
      <c r="P1100" s="11" t="s">
        <v>175</v>
      </c>
      <c r="AR1100" s="11">
        <f>SUBTOTAL(3,_xlfn.SINGLE(tbl_pros[RowId]))</f>
        <v>1</v>
      </c>
    </row>
    <row r="1101" spans="10:44">
      <c r="J1101" s="4">
        <v>1091</v>
      </c>
      <c r="K1101" s="20" t="s">
        <v>133</v>
      </c>
      <c r="L1101" s="2" t="s">
        <v>2127</v>
      </c>
      <c r="M1101" s="4">
        <v>1</v>
      </c>
      <c r="N1101" s="4" t="s">
        <v>2128</v>
      </c>
      <c r="O1101" s="21" t="str">
        <f>HYPERLINK("obsidian://open?vault=o2&amp;file=2023-11-29.md","2023-11-29")</f>
        <v>2023-11-29</v>
      </c>
      <c r="P1101" s="11" t="s">
        <v>175</v>
      </c>
      <c r="AR1101" s="11">
        <f>SUBTOTAL(3,_xlfn.SINGLE(tbl_pros[RowId]))</f>
        <v>1</v>
      </c>
    </row>
    <row r="1102" spans="10:44">
      <c r="J1102" s="4">
        <v>1092</v>
      </c>
      <c r="K1102" s="20" t="s">
        <v>133</v>
      </c>
      <c r="L1102" s="2" t="s">
        <v>2129</v>
      </c>
      <c r="M1102" s="4">
        <v>50</v>
      </c>
      <c r="N1102" s="4" t="s">
        <v>2130</v>
      </c>
      <c r="O1102" s="21" t="str">
        <f>HYPERLINK("obsidian://open?vault=o2&amp;file=2023-11-30.md","2023-11-30")</f>
        <v>2023-11-30</v>
      </c>
      <c r="P1102" s="11" t="s">
        <v>175</v>
      </c>
      <c r="Q1102" s="21" t="str">
        <f>HYPERLINK("obsidian://open?vault=o2&amp;file=2023-12-01.md","2023-12-01")</f>
        <v>2023-12-01</v>
      </c>
      <c r="R1102" s="11" t="s">
        <v>175</v>
      </c>
      <c r="S1102" s="21" t="str">
        <f>HYPERLINK("obsidian://open?vault=o2&amp;file=2023-12-02.md","2023-12-02")</f>
        <v>2023-12-02</v>
      </c>
      <c r="T1102" s="11" t="s">
        <v>175</v>
      </c>
      <c r="U1102" s="21" t="str">
        <f>HYPERLINK("obsidian://open?vault=o2&amp;file=2023-12-03.md","2023-12-03")</f>
        <v>2023-12-03</v>
      </c>
      <c r="V1102" s="11" t="s">
        <v>175</v>
      </c>
      <c r="W1102" s="21" t="str">
        <f>HYPERLINK("obsidian://open?vault=o2&amp;file=2023-12-04.md","2023-12-04")</f>
        <v>2023-12-04</v>
      </c>
      <c r="X1102" s="11" t="s">
        <v>175</v>
      </c>
      <c r="Y1102" s="21" t="str">
        <f>HYPERLINK("obsidian://open?vault=o2&amp;file=2023-12-05.md","2023-12-05")</f>
        <v>2023-12-05</v>
      </c>
      <c r="Z1102" s="11" t="s">
        <v>175</v>
      </c>
      <c r="AA1102" s="21" t="str">
        <f>HYPERLINK("obsidian://open?vault=o2&amp;file=2023-12-06.md","2023-12-06")</f>
        <v>2023-12-06</v>
      </c>
      <c r="AB1102" s="11" t="s">
        <v>175</v>
      </c>
      <c r="AC1102" s="21" t="str">
        <f>HYPERLINK("obsidian://open?vault=o2&amp;file=2023-12-07.md","2023-12-07")</f>
        <v>2023-12-07</v>
      </c>
      <c r="AD1102" s="11" t="s">
        <v>175</v>
      </c>
      <c r="AE1102" s="21" t="str">
        <f>HYPERLINK("obsidian://open?vault=o2&amp;file=2023-12-09.md","2023-12-09")</f>
        <v>2023-12-09</v>
      </c>
      <c r="AF1102" s="11" t="s">
        <v>175</v>
      </c>
      <c r="AG1102" s="21" t="str">
        <f>HYPERLINK("obsidian://open?vault=o2&amp;file=2023-12-11.md","2023-12-11")</f>
        <v>2023-12-11</v>
      </c>
      <c r="AH1102" s="11" t="s">
        <v>175</v>
      </c>
      <c r="AI1102" s="21" t="str">
        <f>HYPERLINK("obsidian://open?vault=o2&amp;file=2023-12-19.md","2023-12-19")</f>
        <v>2023-12-19</v>
      </c>
      <c r="AJ1102" s="11" t="s">
        <v>175</v>
      </c>
      <c r="AK1102" s="21" t="str">
        <f>HYPERLINK("obsidian://open?vault=o2&amp;file=2023-12-20.md","2023-12-20")</f>
        <v>2023-12-20</v>
      </c>
      <c r="AL1102" s="11" t="s">
        <v>175</v>
      </c>
      <c r="AM1102" s="21" t="str">
        <f>HYPERLINK("obsidian://open?vault=o2&amp;file=2023-12-21.md","2023-12-21")</f>
        <v>2023-12-21</v>
      </c>
      <c r="AN1102" s="11" t="s">
        <v>175</v>
      </c>
      <c r="AO1102" s="21" t="str">
        <f>HYPERLINK("obsidian://open?vault=o2&amp;file=2024-01-10.md","2024-01-10")</f>
        <v>2024-01-10</v>
      </c>
      <c r="AP1102" s="11" t="s">
        <v>175</v>
      </c>
      <c r="AQ1102" s="21" t="str">
        <f>HYPERLINK("obsidian://open?vault=o2&amp;file=2024-01-13.md","2024-01-13")</f>
        <v>2024-01-13</v>
      </c>
      <c r="AR1102" s="11">
        <f>SUBTOTAL(3,_xlfn.SINGLE(tbl_pros[RowId]))</f>
        <v>1</v>
      </c>
    </row>
    <row r="1103" spans="10:44">
      <c r="J1103" s="4">
        <v>1093</v>
      </c>
      <c r="K1103" s="20" t="s">
        <v>133</v>
      </c>
      <c r="L1103" s="2" t="s">
        <v>2131</v>
      </c>
      <c r="M1103" s="4">
        <v>14</v>
      </c>
      <c r="N1103" s="4" t="s">
        <v>2132</v>
      </c>
      <c r="O1103" s="21" t="str">
        <f>HYPERLINK("obsidian://open?vault=o2&amp;file=2024-10-02.md","2024-10-02")</f>
        <v>2024-10-02</v>
      </c>
      <c r="P1103" s="11" t="s">
        <v>175</v>
      </c>
      <c r="Q1103" s="21" t="str">
        <f>HYPERLINK("obsidian://open?vault=o2&amp;file=2024-10-03.md","2024-10-03")</f>
        <v>2024-10-03</v>
      </c>
      <c r="R1103" s="11" t="s">
        <v>175</v>
      </c>
      <c r="S1103" s="21" t="str">
        <f>HYPERLINK("obsidian://open?vault=o2&amp;file=2024-10-04.md","2024-10-04")</f>
        <v>2024-10-04</v>
      </c>
      <c r="T1103" s="11" t="s">
        <v>175</v>
      </c>
      <c r="U1103" s="21" t="str">
        <f>HYPERLINK("obsidian://open?vault=o2&amp;file=2024-10-05.md","2024-10-05")</f>
        <v>2024-10-05</v>
      </c>
      <c r="V1103" s="11" t="s">
        <v>175</v>
      </c>
      <c r="W1103" s="21" t="str">
        <f>HYPERLINK("obsidian://open?vault=o2&amp;file=2024-10-06.md","2024-10-06")</f>
        <v>2024-10-06</v>
      </c>
      <c r="X1103" s="11" t="s">
        <v>175</v>
      </c>
      <c r="Y1103" s="21" t="str">
        <f>HYPERLINK("obsidian://open?vault=o2&amp;file=2024-10-07.md","2024-10-07")</f>
        <v>2024-10-07</v>
      </c>
      <c r="Z1103" s="11" t="s">
        <v>175</v>
      </c>
      <c r="AA1103" s="21" t="str">
        <f>HYPERLINK("obsidian://open?vault=o2&amp;file=2024-10-09.md","2024-10-09")</f>
        <v>2024-10-09</v>
      </c>
      <c r="AB1103" s="11" t="s">
        <v>175</v>
      </c>
      <c r="AC1103" s="21" t="str">
        <f>HYPERLINK("obsidian://open?vault=o2&amp;file=2024-10-10.md","2024-10-10")</f>
        <v>2024-10-10</v>
      </c>
      <c r="AD1103" s="11" t="s">
        <v>175</v>
      </c>
      <c r="AE1103" s="21" t="str">
        <f>HYPERLINK("obsidian://open?vault=o2&amp;file=2024-10-12.md","2024-10-12")</f>
        <v>2024-10-12</v>
      </c>
      <c r="AF1103" s="11" t="s">
        <v>175</v>
      </c>
      <c r="AG1103" s="21" t="str">
        <f>HYPERLINK("obsidian://open?vault=o2&amp;file=2024-10-13.md","2024-10-13")</f>
        <v>2024-10-13</v>
      </c>
      <c r="AH1103" s="11" t="s">
        <v>175</v>
      </c>
      <c r="AI1103" s="21" t="str">
        <f>HYPERLINK("obsidian://open?vault=o2&amp;file=2024-10-14.md","2024-10-14")</f>
        <v>2024-10-14</v>
      </c>
      <c r="AJ1103" s="11" t="s">
        <v>175</v>
      </c>
      <c r="AK1103" s="21" t="str">
        <f>HYPERLINK("obsidian://open?vault=o2&amp;file=2024-10-18.md","2024-10-18")</f>
        <v>2024-10-18</v>
      </c>
      <c r="AL1103" s="11" t="s">
        <v>175</v>
      </c>
      <c r="AM1103" s="21" t="str">
        <f>HYPERLINK("obsidian://open?vault=o2&amp;file=2024-10-21.md","2024-10-21")</f>
        <v>2024-10-21</v>
      </c>
      <c r="AN1103" s="11" t="s">
        <v>175</v>
      </c>
      <c r="AO1103" s="21" t="str">
        <f>HYPERLINK("obsidian://open?vault=o2&amp;file=2024-10-24.md","2024-10-24")</f>
        <v>2024-10-24</v>
      </c>
      <c r="AP1103" s="11" t="s">
        <v>175</v>
      </c>
      <c r="AR1103" s="11">
        <f>SUBTOTAL(3,_xlfn.SINGLE(tbl_pros[RowId]))</f>
        <v>1</v>
      </c>
    </row>
    <row r="1104" spans="10:44">
      <c r="J1104" s="4">
        <v>1094</v>
      </c>
      <c r="K1104" s="20" t="s">
        <v>133</v>
      </c>
      <c r="L1104" s="22">
        <v>45671</v>
      </c>
      <c r="M1104" s="4">
        <v>1</v>
      </c>
      <c r="N1104" s="4" t="s">
        <v>2133</v>
      </c>
      <c r="O1104" s="21" t="str">
        <f>HYPERLINK("obsidian://open?vault=o2&amp;file=2024-W36.md","2024-W36")</f>
        <v>2024-W36</v>
      </c>
      <c r="P1104" s="11" t="s">
        <v>175</v>
      </c>
      <c r="AR1104" s="11">
        <f>SUBTOTAL(3,_xlfn.SINGLE(tbl_pros[RowId]))</f>
        <v>1</v>
      </c>
    </row>
    <row r="1105" spans="10:44">
      <c r="J1105" s="4">
        <v>1095</v>
      </c>
      <c r="K1105" s="20" t="s">
        <v>133</v>
      </c>
      <c r="L1105" s="2" t="s">
        <v>2134</v>
      </c>
      <c r="M1105" s="4">
        <v>1</v>
      </c>
      <c r="N1105" s="4" t="s">
        <v>2135</v>
      </c>
      <c r="O1105" s="21" t="str">
        <f>HYPERLINK("obsidian://open?vault=o2&amp;file=peepsTemplate.md","peepsTemplate")</f>
        <v>peepsTemplate</v>
      </c>
      <c r="P1105" s="11" t="s">
        <v>175</v>
      </c>
      <c r="AR1105" s="11">
        <f>SUBTOTAL(3,_xlfn.SINGLE(tbl_pros[RowId]))</f>
        <v>1</v>
      </c>
    </row>
    <row r="1106" spans="10:44">
      <c r="J1106" s="4">
        <v>1096</v>
      </c>
      <c r="K1106" s="20" t="s">
        <v>133</v>
      </c>
      <c r="L1106" s="2" t="s">
        <v>2136</v>
      </c>
      <c r="M1106" s="4">
        <v>1</v>
      </c>
      <c r="N1106" s="4" t="s">
        <v>2137</v>
      </c>
      <c r="O1106" s="21" t="str">
        <f>HYPERLINK("obsidian://open?vault=o2&amp;file=peepsTemplatetest1.md","peepsTemplatetest1")</f>
        <v>peepsTemplatetest1</v>
      </c>
      <c r="P1106" s="11" t="s">
        <v>175</v>
      </c>
      <c r="AR1106" s="11">
        <f>SUBTOTAL(3,_xlfn.SINGLE(tbl_pros[RowId]))</f>
        <v>1</v>
      </c>
    </row>
    <row r="1107" spans="10:44">
      <c r="J1107" s="4">
        <v>1097</v>
      </c>
      <c r="K1107" s="20" t="s">
        <v>133</v>
      </c>
      <c r="L1107" s="2" t="s">
        <v>2138</v>
      </c>
      <c r="M1107" s="4">
        <v>1</v>
      </c>
      <c r="N1107" s="4" t="s">
        <v>2139</v>
      </c>
      <c r="O1107" s="21" t="str">
        <f>HYPERLINK("obsidian://open?vault=o2&amp;file=Daily%20Copy%20Template.md","Daily Copy Template")</f>
        <v>Daily Copy Template</v>
      </c>
      <c r="P1107" s="11" t="s">
        <v>175</v>
      </c>
      <c r="AR1107" s="11">
        <f>SUBTOTAL(3,_xlfn.SINGLE(tbl_pros[RowId]))</f>
        <v>1</v>
      </c>
    </row>
    <row r="1108" spans="10:44">
      <c r="J1108" s="4">
        <v>1098</v>
      </c>
      <c r="K1108" s="20" t="s">
        <v>133</v>
      </c>
      <c r="L1108" s="2" t="s">
        <v>2140</v>
      </c>
      <c r="M1108" s="4">
        <v>1</v>
      </c>
      <c r="N1108" s="4" t="s">
        <v>2141</v>
      </c>
      <c r="O1108" s="21" t="str">
        <f>HYPERLINK("obsidian://open?vault=o2&amp;file=personsTemplate.md","personsTemplate")</f>
        <v>personsTemplate</v>
      </c>
      <c r="P1108" s="11" t="s">
        <v>175</v>
      </c>
      <c r="AR1108" s="11">
        <f>SUBTOTAL(3,_xlfn.SINGLE(tbl_pros[RowId]))</f>
        <v>1</v>
      </c>
    </row>
    <row r="1109" spans="10:44">
      <c r="J1109" s="4">
        <v>1099</v>
      </c>
      <c r="K1109" s="20" t="s">
        <v>133</v>
      </c>
      <c r="L1109" s="2" t="s">
        <v>2142</v>
      </c>
      <c r="M1109" s="4">
        <v>1</v>
      </c>
      <c r="N1109" s="4" t="s">
        <v>2143</v>
      </c>
      <c r="O1109" s="21" t="str">
        <f>HYPERLINK("obsidian://open?vault=o2&amp;file=Project%20Template.md","Project Template")</f>
        <v>Project Template</v>
      </c>
      <c r="P1109" s="11" t="s">
        <v>175</v>
      </c>
      <c r="AR1109" s="11">
        <f>SUBTOTAL(3,_xlfn.SINGLE(tbl_pros[RowId]))</f>
        <v>1</v>
      </c>
    </row>
    <row r="1110" spans="10:44">
      <c r="J1110" s="4">
        <v>1100</v>
      </c>
      <c r="K1110" s="14" t="s">
        <v>134</v>
      </c>
      <c r="L1110" s="2" t="s">
        <v>2107</v>
      </c>
      <c r="M1110" s="4">
        <v>4</v>
      </c>
      <c r="N1110" s="4" t="s">
        <v>2144</v>
      </c>
      <c r="O1110" s="21" t="str">
        <f>HYPERLINK("obsidian://open?vault=o2&amp;file=Setup%20SSH%20to%20work%20in%20Powershell.md","Setup SSH to work in Powershell")</f>
        <v>Setup SSH to work in Powershell</v>
      </c>
      <c r="P1110" s="11" t="s">
        <v>175</v>
      </c>
      <c r="Q1110" s="21" t="str">
        <f>HYPERLINK("obsidian://open?vault=o2&amp;file=2023-09-22.md","2023-09-22")</f>
        <v>2023-09-22</v>
      </c>
      <c r="R1110" s="11" t="s">
        <v>175</v>
      </c>
      <c r="S1110" s="21" t="str">
        <f>HYPERLINK("obsidian://open?vault=o2&amp;file=2023-09-25.md","2023-09-25")</f>
        <v>2023-09-25</v>
      </c>
      <c r="T1110" s="11" t="s">
        <v>175</v>
      </c>
      <c r="U1110" s="21" t="str">
        <f>HYPERLINK("obsidian://open?vault=o2&amp;file=2023-09-27.md","2023-09-27")</f>
        <v>2023-09-27</v>
      </c>
      <c r="V1110" s="11" t="s">
        <v>175</v>
      </c>
      <c r="AR1110" s="11">
        <f>SUBTOTAL(3,_xlfn.SINGLE(tbl_pros[RowId]))</f>
        <v>1</v>
      </c>
    </row>
    <row r="1111" spans="10:44">
      <c r="J1111" s="4">
        <v>1101</v>
      </c>
      <c r="K1111" s="14" t="s">
        <v>134</v>
      </c>
      <c r="L1111" s="2" t="s">
        <v>2127</v>
      </c>
      <c r="M1111" s="4">
        <v>4</v>
      </c>
      <c r="N1111" s="4" t="s">
        <v>2145</v>
      </c>
      <c r="O1111" s="21" t="str">
        <f>HYPERLINK("obsidian://open?vault=o2&amp;file=2023-09-29.md","2023-09-29")</f>
        <v>2023-09-29</v>
      </c>
      <c r="P1111" s="11" t="s">
        <v>175</v>
      </c>
      <c r="Q1111" s="21" t="str">
        <f>HYPERLINK("obsidian://open?vault=o2&amp;file=2023-10-30.md","2023-10-30")</f>
        <v>2023-10-30</v>
      </c>
      <c r="R1111" s="11" t="s">
        <v>175</v>
      </c>
      <c r="S1111" s="21" t="str">
        <f>HYPERLINK("obsidian://open?vault=o2&amp;file=2023-11-06.md","2023-11-06")</f>
        <v>2023-11-06</v>
      </c>
      <c r="T1111" s="11" t="s">
        <v>175</v>
      </c>
      <c r="U1111" s="21" t="str">
        <f>HYPERLINK("obsidian://open?vault=o2&amp;file=2023-11-17.md","2023-11-17")</f>
        <v>2023-11-17</v>
      </c>
      <c r="V1111" s="11" t="s">
        <v>175</v>
      </c>
      <c r="AR1111" s="11">
        <f>SUBTOTAL(3,_xlfn.SINGLE(tbl_pros[RowId]))</f>
        <v>1</v>
      </c>
    </row>
    <row r="1112" spans="10:44">
      <c r="J1112" s="4">
        <v>1102</v>
      </c>
      <c r="K1112" s="14" t="s">
        <v>134</v>
      </c>
      <c r="L1112" s="2" t="s">
        <v>2102</v>
      </c>
      <c r="M1112" s="4">
        <v>4</v>
      </c>
      <c r="N1112" s="4" t="s">
        <v>2146</v>
      </c>
      <c r="O1112" s="21" t="str">
        <f>HYPERLINK("obsidian://open?vault=o2&amp;file=2025-02-11.md","2025-02-11")</f>
        <v>2025-02-11</v>
      </c>
      <c r="P1112" s="11" t="s">
        <v>175</v>
      </c>
      <c r="Q1112" s="21" t="str">
        <f>HYPERLINK("obsidian://open?vault=o2&amp;file=2025-02-13.md","2025-02-13")</f>
        <v>2025-02-13</v>
      </c>
      <c r="R1112" s="11" t="s">
        <v>175</v>
      </c>
      <c r="S1112" s="21" t="str">
        <f>HYPERLINK("obsidian://open?vault=o2&amp;file=2025-02-14.md","2025-02-14")</f>
        <v>2025-02-14</v>
      </c>
      <c r="T1112" s="11" t="s">
        <v>175</v>
      </c>
      <c r="U1112" s="21" t="str">
        <f>HYPERLINK("obsidian://open?vault=o2&amp;file=2025-03-14.md","2025-03-14")</f>
        <v>2025-03-14</v>
      </c>
      <c r="V1112" s="11" t="s">
        <v>175</v>
      </c>
      <c r="AR1112" s="11">
        <f>SUBTOTAL(3,_xlfn.SINGLE(tbl_pros[RowId]))</f>
        <v>1</v>
      </c>
    </row>
    <row r="1113" spans="10:44">
      <c r="J1113" s="4">
        <v>1103</v>
      </c>
      <c r="K1113" s="20" t="s">
        <v>135</v>
      </c>
      <c r="L1113" s="2" t="s">
        <v>1494</v>
      </c>
      <c r="M1113" s="4">
        <v>16</v>
      </c>
      <c r="N1113" s="4" t="s">
        <v>2147</v>
      </c>
      <c r="O1113" s="21" t="str">
        <f>HYPERLINK("obsidian://open?vault=o2&amp;file=%F0%9F%93%8C%20Cheatsheet%20Library%20Kanban.md","📌 Cheatsheet Library Kanban")</f>
        <v>📌 Cheatsheet Library Kanban</v>
      </c>
      <c r="P1113" s="11" t="s">
        <v>175</v>
      </c>
      <c r="Q1113" s="21" t="str">
        <f>HYPERLINK("obsidian://open?vault=o2&amp;file=%F0%9F%93%8C%20Debug%20metaCatchall.md","📌 Debug metaCatchall")</f>
        <v>📌 Debug metaCatchall</v>
      </c>
      <c r="R1113" s="11" t="s">
        <v>175</v>
      </c>
      <c r="S1113" s="21" t="str">
        <f>HYPERLINK("obsidian://open?vault=o2&amp;file=%F0%9F%93%8C%20Home%20Project%20Kanban.md","📌 Home Project Kanban")</f>
        <v>📌 Home Project Kanban</v>
      </c>
      <c r="T1113" s="11" t="s">
        <v>175</v>
      </c>
      <c r="U1113" s="21" t="str">
        <f>HYPERLINK("obsidian://open?vault=o2&amp;file=%F0%9F%93%8C%20Image%20Categorization%20Kanban.md","📌 Image Categorization Kanban")</f>
        <v>📌 Image Categorization Kanban</v>
      </c>
      <c r="V1113" s="11" t="s">
        <v>175</v>
      </c>
      <c r="W1113" s="21" t="str">
        <f>HYPERLINK("obsidian://open?vault=o2&amp;file=%F0%9F%93%8C%20Learning%20iOS%20Kanban.md","📌 Learning iOS Kanban")</f>
        <v>📌 Learning iOS Kanban</v>
      </c>
      <c r="X1113" s="11" t="s">
        <v>175</v>
      </c>
      <c r="Y1113" s="21" t="str">
        <f>HYPERLINK("obsidian://open?vault=o2&amp;file=%F0%9F%93%8C%20Media%20Project%20Kanban.md","📌 Media Project Kanban")</f>
        <v>📌 Media Project Kanban</v>
      </c>
      <c r="Z1113" s="11" t="s">
        <v>175</v>
      </c>
      <c r="AA1113" s="21" t="str">
        <f>HYPERLINK("obsidian://open?vault=o2&amp;file=%F0%9F%93%8C%20Money%20Management%20Kanban.md","📌 Money Management Kanban")</f>
        <v>📌 Money Management Kanban</v>
      </c>
      <c r="AB1113" s="11" t="s">
        <v>175</v>
      </c>
      <c r="AC1113" s="21" t="str">
        <f>HYPERLINK("obsidian://open?vault=o2&amp;file=%F0%9F%93%8C%20My%20Obsidian%20Kanban.md","📌 My Obsidian Kanban")</f>
        <v>📌 My Obsidian Kanban</v>
      </c>
      <c r="AD1113" s="11" t="s">
        <v>175</v>
      </c>
      <c r="AE1113" s="21" t="str">
        <f>HYPERLINK("obsidian://open?vault=o2&amp;file=%F0%9F%93%8C%20Obsidian%20Setup%20Kanban.md","📌 Obsidian Setup Kanban")</f>
        <v>📌 Obsidian Setup Kanban</v>
      </c>
      <c r="AF1113" s="11" t="s">
        <v>175</v>
      </c>
      <c r="AG1113" s="21" t="str">
        <f>HYPERLINK("obsidian://open?vault=o2&amp;file=%F0%9F%93%8C%20Office%20Desk%20Design%20Kanban.md","📌 Office Desk Design Kanban")</f>
        <v>📌 Office Desk Design Kanban</v>
      </c>
      <c r="AH1113" s="11" t="s">
        <v>175</v>
      </c>
      <c r="AI1113" s="21" t="str">
        <f>HYPERLINK("obsidian://open?vault=o2&amp;file=%F0%9F%93%8C%20Print%20On%20Demand%20Kanban.md","📌 Print On Demand Kanban")</f>
        <v>📌 Print On Demand Kanban</v>
      </c>
      <c r="AJ1113" s="11" t="s">
        <v>175</v>
      </c>
      <c r="AK1113" s="21" t="str">
        <f>HYPERLINK("obsidian://open?vault=o2&amp;file=%F0%9F%93%8C%20Recipe%20Database%20and%20Cookbook.md","📌 Recipe Database and Cookbook")</f>
        <v>📌 Recipe Database and Cookbook</v>
      </c>
      <c r="AL1113" s="11" t="s">
        <v>175</v>
      </c>
      <c r="AM1113" s="21" t="str">
        <f>HYPERLINK("obsidian://open?vault=o2&amp;file=%F0%9F%93%8C%20Setup%20Linode%20Server%20Kanban.md","📌 Setup Linode Server Kanban")</f>
        <v>📌 Setup Linode Server Kanban</v>
      </c>
      <c r="AN1113" s="11" t="s">
        <v>175</v>
      </c>
      <c r="AO1113" s="21" t="str">
        <f>HYPERLINK("obsidian://open?vault=o2&amp;file=%F0%9F%93%8C%20Sell%20House-Move.md","📌 Sell House-Move")</f>
        <v>📌 Sell House-Move</v>
      </c>
      <c r="AP1113" s="11" t="s">
        <v>175</v>
      </c>
      <c r="AQ1113" s="21" t="str">
        <f>HYPERLINK("obsidian://open?vault=o2&amp;file=%F0%9F%93%8C%20Create%20a%20new%20kind%20of%20note.md","📌 Create a new kind of note")</f>
        <v>📌 Create a new kind of note</v>
      </c>
      <c r="AR1113" s="11">
        <f>SUBTOTAL(3,_xlfn.SINGLE(tbl_pros[RowId]))</f>
        <v>1</v>
      </c>
    </row>
    <row r="1114" spans="10:44">
      <c r="J1114" s="4">
        <v>1104</v>
      </c>
      <c r="K1114" s="20" t="s">
        <v>135</v>
      </c>
      <c r="L1114" s="2" t="s">
        <v>2148</v>
      </c>
      <c r="M1114" s="4">
        <v>1</v>
      </c>
      <c r="N1114" s="4" t="s">
        <v>2149</v>
      </c>
      <c r="O1114" s="21" t="str">
        <f>HYPERLINK("obsidian://open?vault=o2&amp;file=Hire%20a%20Realtor.md","Hire a Realtor")</f>
        <v>Hire a Realtor</v>
      </c>
      <c r="P1114" s="11" t="s">
        <v>175</v>
      </c>
      <c r="AR1114" s="11">
        <f>SUBTOTAL(3,_xlfn.SINGLE(tbl_pros[RowId]))</f>
        <v>1</v>
      </c>
    </row>
    <row r="1115" spans="10:44">
      <c r="J1115" s="4">
        <v>1105</v>
      </c>
      <c r="K1115" s="20" t="s">
        <v>135</v>
      </c>
      <c r="L1115" s="2" t="s">
        <v>2150</v>
      </c>
      <c r="M1115" s="4">
        <v>1</v>
      </c>
      <c r="N1115" s="4" t="s">
        <v>2151</v>
      </c>
      <c r="O1115" s="21" t="str">
        <f>HYPERLINK("obsidian://open?vault=o2&amp;file=%F0%9F%93%8C%20Learn%20Obsidian%20MD.md","📌 Learn Obsidian MD")</f>
        <v>📌 Learn Obsidian MD</v>
      </c>
      <c r="P1115" s="11" t="s">
        <v>175</v>
      </c>
      <c r="AR1115" s="11">
        <f>SUBTOTAL(3,_xlfn.SINGLE(tbl_pros[RowId]))</f>
        <v>1</v>
      </c>
    </row>
    <row r="1116" spans="10:44">
      <c r="J1116" s="4">
        <v>1106</v>
      </c>
      <c r="K1116" s="20" t="s">
        <v>136</v>
      </c>
      <c r="L1116" s="2" t="s">
        <v>418</v>
      </c>
      <c r="M1116" s="4">
        <v>1</v>
      </c>
      <c r="N1116" s="4" t="s">
        <v>2152</v>
      </c>
      <c r="O1116" s="21" t="str">
        <f>HYPERLINK("obsidian://open?vault=o2&amp;file=QuickLogOngoing.md","QuickLogOngoing")</f>
        <v>QuickLogOngoing</v>
      </c>
      <c r="P1116" s="11" t="s">
        <v>175</v>
      </c>
      <c r="AR1116" s="11">
        <f>SUBTOTAL(3,_xlfn.SINGLE(tbl_pros[RowId]))</f>
        <v>1</v>
      </c>
    </row>
    <row r="1117" spans="10:44">
      <c r="J1117" s="4">
        <v>1107</v>
      </c>
      <c r="K1117" s="20" t="s">
        <v>137</v>
      </c>
      <c r="L1117" s="2" t="s">
        <v>2153</v>
      </c>
      <c r="M1117" s="4">
        <v>1</v>
      </c>
      <c r="N1117" s="4" t="s">
        <v>2154</v>
      </c>
      <c r="O1117" s="21" t="str">
        <f>HYPERLINK("obsidian://open?vault=o2&amp;file=How%20to%20Make%20Changes%20to%20Multiple%20Files%20Using%20Python%20%20Envato%20Tuts%2B.md","How to Make Changes to Multiple Files Using Python  Envato Tuts+")</f>
        <v>How to Make Changes to Multiple Files Using Python  Envato Tuts+</v>
      </c>
      <c r="P1117" s="11" t="s">
        <v>175</v>
      </c>
      <c r="AR1117" s="11">
        <f>SUBTOTAL(3,_xlfn.SINGLE(tbl_pros[RowId]))</f>
        <v>1</v>
      </c>
    </row>
    <row r="1118" spans="10:44">
      <c r="J1118" s="4">
        <v>1108</v>
      </c>
      <c r="K1118" s="20" t="s">
        <v>137</v>
      </c>
      <c r="L1118" s="2" t="s">
        <v>2155</v>
      </c>
      <c r="M1118" s="4">
        <v>1</v>
      </c>
      <c r="N1118" s="4" t="s">
        <v>2156</v>
      </c>
      <c r="O1118" s="21" t="str">
        <f>HYPERLINK("obsidian://open?vault=o2&amp;file=CategorySVG%20by%20subject%20-%20Wikimedia%20Commons.md","CategorySVG by subject - Wikimedia Commons")</f>
        <v>CategorySVG by subject - Wikimedia Commons</v>
      </c>
      <c r="P1118" s="11" t="s">
        <v>175</v>
      </c>
      <c r="AR1118" s="11">
        <f>SUBTOTAL(3,_xlfn.SINGLE(tbl_pros[RowId]))</f>
        <v>1</v>
      </c>
    </row>
    <row r="1119" spans="10:44">
      <c r="J1119" s="4">
        <v>1109</v>
      </c>
      <c r="K1119" s="20" t="s">
        <v>137</v>
      </c>
      <c r="L1119" s="2" t="s">
        <v>2157</v>
      </c>
      <c r="M1119" s="4">
        <v>1</v>
      </c>
      <c r="N1119" s="4" t="s">
        <v>2158</v>
      </c>
      <c r="O1119" s="21" t="str">
        <f>HYPERLINK("obsidian://open?vault=o2&amp;file=Do%20Yourself%20a%20Favor%20and%20Go%20Find%20a%20%E2%80%98Third%20Place%E2%80%99.md","Do Yourself a Favor and Go Find a ‘Third Place’")</f>
        <v>Do Yourself a Favor and Go Find a ‘Third Place’</v>
      </c>
      <c r="P1119" s="11" t="s">
        <v>175</v>
      </c>
      <c r="AR1119" s="11">
        <f>SUBTOTAL(3,_xlfn.SINGLE(tbl_pros[RowId]))</f>
        <v>1</v>
      </c>
    </row>
    <row r="1120" spans="10:44">
      <c r="J1120" s="4">
        <v>1110</v>
      </c>
      <c r="K1120" s="20" t="s">
        <v>137</v>
      </c>
      <c r="L1120" s="2" t="s">
        <v>2159</v>
      </c>
      <c r="M1120" s="4">
        <v>1</v>
      </c>
      <c r="N1120" s="4" t="s">
        <v>2160</v>
      </c>
      <c r="O1120" s="21" t="str">
        <f>HYPERLINK("obsidian://open?vault=o2&amp;file=Kurt%20Vonnegut%E2%80%99s%20Greatest%20Writing%20Advice.md","Kurt Vonnegut’s Greatest Writing Advice")</f>
        <v>Kurt Vonnegut’s Greatest Writing Advice</v>
      </c>
      <c r="P1120" s="11" t="s">
        <v>175</v>
      </c>
      <c r="AR1120" s="11">
        <f>SUBTOTAL(3,_xlfn.SINGLE(tbl_pros[RowId]))</f>
        <v>1</v>
      </c>
    </row>
    <row r="1121" spans="10:44">
      <c r="J1121" s="4">
        <v>1111</v>
      </c>
      <c r="K1121" s="20" t="s">
        <v>137</v>
      </c>
      <c r="L1121" s="2" t="s">
        <v>2161</v>
      </c>
      <c r="M1121" s="4">
        <v>1</v>
      </c>
      <c r="N1121" s="4" t="s">
        <v>2162</v>
      </c>
      <c r="O1121" s="21" t="str">
        <f>HYPERLINK("obsidian://open?vault=o2&amp;file=The%20Growing%20Link%20Between%20Microbes%2C%20Mood%20and%20Mental%20Health.md","The Growing Link Between Microbes, Mood and Mental Health")</f>
        <v>The Growing Link Between Microbes, Mood and Mental Health</v>
      </c>
      <c r="P1121" s="11" t="s">
        <v>175</v>
      </c>
      <c r="AR1121" s="11">
        <f>SUBTOTAL(3,_xlfn.SINGLE(tbl_pros[RowId]))</f>
        <v>1</v>
      </c>
    </row>
    <row r="1122" spans="10:44">
      <c r="J1122" s="4">
        <v>1112</v>
      </c>
      <c r="K1122" s="20" t="s">
        <v>137</v>
      </c>
      <c r="L1122" s="2" t="s">
        <v>2163</v>
      </c>
      <c r="M1122" s="4">
        <v>1</v>
      </c>
      <c r="N1122" s="4" t="s">
        <v>2164</v>
      </c>
      <c r="O1122"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P1122" s="11" t="s">
        <v>175</v>
      </c>
      <c r="AR1122" s="11">
        <f>SUBTOTAL(3,_xlfn.SINGLE(tbl_pros[RowId]))</f>
        <v>1</v>
      </c>
    </row>
    <row r="1123" spans="10:44">
      <c r="J1123" s="4">
        <v>1113</v>
      </c>
      <c r="K1123" s="20" t="s">
        <v>137</v>
      </c>
      <c r="L1123" s="2" t="s">
        <v>2165</v>
      </c>
      <c r="M1123" s="4">
        <v>1</v>
      </c>
      <c r="N1123" s="4" t="s">
        <v>2166</v>
      </c>
      <c r="O1123" s="21" t="str">
        <f>HYPERLINK("obsidian://open?vault=o2&amp;file=Python%20Style%20Guide.md","Python Style Guide")</f>
        <v>Python Style Guide</v>
      </c>
      <c r="P1123" s="11" t="s">
        <v>175</v>
      </c>
      <c r="AR1123" s="11">
        <f>SUBTOTAL(3,_xlfn.SINGLE(tbl_pros[RowId]))</f>
        <v>1</v>
      </c>
    </row>
    <row r="1124" spans="10:44">
      <c r="J1124" s="4">
        <v>1114</v>
      </c>
      <c r="K1124" s="20" t="s">
        <v>137</v>
      </c>
      <c r="L1124" s="2" t="s">
        <v>2167</v>
      </c>
      <c r="M1124" s="4">
        <v>1</v>
      </c>
      <c r="N1124" s="4" t="s">
        <v>2168</v>
      </c>
      <c r="O1124" s="21" t="str">
        <f>HYPERLINK("obsidian://open?vault=o2&amp;file=How%20to%20Create%20So%20Much%20They%20Can%E2%80%99t%20Ignore%20You.md","How to Create So Much They Can’t Ignore You")</f>
        <v>How to Create So Much They Can’t Ignore You</v>
      </c>
      <c r="P1124" s="11" t="s">
        <v>175</v>
      </c>
      <c r="AR1124" s="11">
        <f>SUBTOTAL(3,_xlfn.SINGLE(tbl_pros[RowId]))</f>
        <v>1</v>
      </c>
    </row>
    <row r="1125" spans="10:44">
      <c r="J1125" s="4">
        <v>1115</v>
      </c>
      <c r="K1125" s="20" t="s">
        <v>137</v>
      </c>
      <c r="L1125" s="2" t="s">
        <v>2169</v>
      </c>
      <c r="M1125" s="4">
        <v>1</v>
      </c>
      <c r="N1125" s="4" t="s">
        <v>2170</v>
      </c>
      <c r="O1125" s="21" t="str">
        <f>HYPERLINK("obsidian://open?vault=o2&amp;file=Learn%20Python%20in%20Y%20Minutes.md","Learn Python in Y Minutes")</f>
        <v>Learn Python in Y Minutes</v>
      </c>
      <c r="P1125" s="11" t="s">
        <v>175</v>
      </c>
      <c r="AR1125" s="11">
        <f>SUBTOTAL(3,_xlfn.SINGLE(tbl_pros[RowId]))</f>
        <v>1</v>
      </c>
    </row>
    <row r="1126" spans="10:44">
      <c r="J1126" s="4">
        <v>1116</v>
      </c>
      <c r="K1126" s="20" t="s">
        <v>137</v>
      </c>
      <c r="L1126" s="2" t="s">
        <v>2171</v>
      </c>
      <c r="M1126" s="4">
        <v>1</v>
      </c>
      <c r="N1126" s="4" t="s">
        <v>2172</v>
      </c>
      <c r="O1126" s="21" t="str">
        <f>HYPERLINK("obsidian://open?vault=o2&amp;file=17%20Habits%20of%20the%20Self-Destructive%20Person%20%28%2B%20How%20to%20Stop%29.md","17 Habits of the Self-Destructive Person (+ How to Stop)")</f>
        <v>17 Habits of the Self-Destructive Person (+ How to Stop)</v>
      </c>
      <c r="P1126" s="11" t="s">
        <v>175</v>
      </c>
      <c r="AR1126" s="11">
        <f>SUBTOTAL(3,_xlfn.SINGLE(tbl_pros[RowId]))</f>
        <v>1</v>
      </c>
    </row>
    <row r="1127" spans="10:44">
      <c r="J1127" s="4">
        <v>1117</v>
      </c>
      <c r="K1127" s="20" t="s">
        <v>137</v>
      </c>
      <c r="L1127" s="2" t="s">
        <v>2173</v>
      </c>
      <c r="M1127" s="4">
        <v>1</v>
      </c>
      <c r="N1127" s="4" t="s">
        <v>2174</v>
      </c>
      <c r="O1127"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P1127" s="11" t="s">
        <v>175</v>
      </c>
      <c r="AR1127" s="11">
        <f>SUBTOTAL(3,_xlfn.SINGLE(tbl_pros[RowId]))</f>
        <v>1</v>
      </c>
    </row>
    <row r="1128" spans="10:44">
      <c r="J1128" s="4">
        <v>1118</v>
      </c>
      <c r="K1128" s="20" t="s">
        <v>137</v>
      </c>
      <c r="L1128" s="2" t="s">
        <v>2175</v>
      </c>
      <c r="M1128" s="4">
        <v>1</v>
      </c>
      <c r="N1128" s="4" t="s">
        <v>2176</v>
      </c>
      <c r="O1128"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P1128" s="11" t="s">
        <v>175</v>
      </c>
      <c r="AR1128" s="11">
        <f>SUBTOTAL(3,_xlfn.SINGLE(tbl_pros[RowId]))</f>
        <v>1</v>
      </c>
    </row>
    <row r="1129" spans="10:44">
      <c r="J1129" s="4">
        <v>1119</v>
      </c>
      <c r="K1129" s="20" t="s">
        <v>137</v>
      </c>
      <c r="L1129" s="2" t="s">
        <v>2177</v>
      </c>
      <c r="M1129" s="4">
        <v>1</v>
      </c>
      <c r="N1129" s="4" t="s">
        <v>2178</v>
      </c>
      <c r="O1129"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P1129" s="11" t="s">
        <v>175</v>
      </c>
      <c r="AR1129" s="11">
        <f>SUBTOTAL(3,_xlfn.SINGLE(tbl_pros[RowId]))</f>
        <v>1</v>
      </c>
    </row>
    <row r="1130" spans="10:44">
      <c r="J1130" s="4">
        <v>1120</v>
      </c>
      <c r="K1130" s="20" t="s">
        <v>137</v>
      </c>
      <c r="L1130" s="2" t="s">
        <v>2179</v>
      </c>
      <c r="M1130" s="4">
        <v>1</v>
      </c>
      <c r="N1130" s="4" t="s">
        <v>2180</v>
      </c>
      <c r="O1130"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P1130" s="11" t="s">
        <v>175</v>
      </c>
      <c r="AR1130" s="11">
        <f>SUBTOTAL(3,_xlfn.SINGLE(tbl_pros[RowId]))</f>
        <v>1</v>
      </c>
    </row>
    <row r="1131" spans="10:44">
      <c r="J1131" s="4">
        <v>1121</v>
      </c>
      <c r="K1131" s="20" t="s">
        <v>137</v>
      </c>
      <c r="L1131" s="2" t="s">
        <v>2181</v>
      </c>
      <c r="M1131" s="4">
        <v>1</v>
      </c>
      <c r="N1131" s="4" t="s">
        <v>2182</v>
      </c>
      <c r="O1131" s="21" t="str">
        <f>HYPERLINK("obsidian://open?vault=o2&amp;file=Forget%20ChatGPT-You%20will%20not%20regret%20using%20these%20AI%20tools%20in%202023-Part%202.md","Forget ChatGPT-You will not regret using these AI tools in 2023-Part 2")</f>
        <v>Forget ChatGPT-You will not regret using these AI tools in 2023-Part 2</v>
      </c>
      <c r="P1131" s="11" t="s">
        <v>175</v>
      </c>
      <c r="AR1131" s="11">
        <f>SUBTOTAL(3,_xlfn.SINGLE(tbl_pros[RowId]))</f>
        <v>1</v>
      </c>
    </row>
    <row r="1132" spans="10:44">
      <c r="J1132" s="4">
        <v>1122</v>
      </c>
      <c r="K1132" s="20" t="s">
        <v>137</v>
      </c>
      <c r="L1132" s="2" t="s">
        <v>2183</v>
      </c>
      <c r="M1132" s="4">
        <v>1</v>
      </c>
      <c r="N1132" s="4" t="s">
        <v>2184</v>
      </c>
      <c r="O1132" s="21" t="str">
        <f>HYPERLINK("obsidian://open?vault=o2&amp;file=22%20FREE%20Windows%20Utilities%20EVERY%20User%20MUST%20Know%20About%21.md","22 FREE Windows Utilities EVERY User MUST Know About!")</f>
        <v>22 FREE Windows Utilities EVERY User MUST Know About!</v>
      </c>
      <c r="P1132" s="11" t="s">
        <v>175</v>
      </c>
      <c r="AR1132" s="11">
        <f>SUBTOTAL(3,_xlfn.SINGLE(tbl_pros[RowId]))</f>
        <v>1</v>
      </c>
    </row>
    <row r="1133" spans="10:44">
      <c r="J1133" s="4">
        <v>1123</v>
      </c>
      <c r="K1133" s="20" t="s">
        <v>137</v>
      </c>
      <c r="L1133" s="2" t="s">
        <v>2185</v>
      </c>
      <c r="M1133" s="4">
        <v>1</v>
      </c>
      <c r="N1133" s="4" t="s">
        <v>2186</v>
      </c>
      <c r="O1133" s="21" t="str">
        <f>HYPERLINK("obsidian://open?vault=o2&amp;file=How%20To%20Enable%20Always-On%20Display%20On%20iPhone%20With%20This%20iOS%20Trick.md","How To Enable Always-On Display On iPhone With This iOS Trick")</f>
        <v>How To Enable Always-On Display On iPhone With This iOS Trick</v>
      </c>
      <c r="P1133" s="11" t="s">
        <v>175</v>
      </c>
      <c r="AR1133" s="11">
        <f>SUBTOTAL(3,_xlfn.SINGLE(tbl_pros[RowId]))</f>
        <v>1</v>
      </c>
    </row>
    <row r="1134" spans="10:44">
      <c r="J1134" s="4">
        <v>1124</v>
      </c>
      <c r="K1134" s="20" t="s">
        <v>137</v>
      </c>
      <c r="L1134" s="2" t="s">
        <v>2187</v>
      </c>
      <c r="M1134" s="4">
        <v>1</v>
      </c>
      <c r="N1134" s="4" t="s">
        <v>2188</v>
      </c>
      <c r="O1134" s="21" t="str">
        <f>HYPERLINK("obsidian://open?vault=o2&amp;file=6%20Best%20Cheap%20Web%20Hosting%20Services%20%28Current%20Deals%29.md","6 Best Cheap Web Hosting Services (Current Deals)")</f>
        <v>6 Best Cheap Web Hosting Services (Current Deals)</v>
      </c>
      <c r="P1134" s="11" t="s">
        <v>175</v>
      </c>
      <c r="AR1134" s="11">
        <f>SUBTOTAL(3,_xlfn.SINGLE(tbl_pros[RowId]))</f>
        <v>1</v>
      </c>
    </row>
    <row r="1135" spans="10:44">
      <c r="J1135" s="4">
        <v>1125</v>
      </c>
      <c r="K1135" s="20" t="s">
        <v>137</v>
      </c>
      <c r="L1135" s="2" t="s">
        <v>2189</v>
      </c>
      <c r="M1135" s="4">
        <v>1</v>
      </c>
      <c r="N1135" s="4" t="s">
        <v>2190</v>
      </c>
      <c r="O1135" s="21" t="str">
        <f>HYPERLINK("obsidian://open?vault=o2&amp;file=Watercolor%20Artist.md","Watercolor Artist")</f>
        <v>Watercolor Artist</v>
      </c>
      <c r="P1135" s="11" t="s">
        <v>175</v>
      </c>
      <c r="AR1135" s="11">
        <f>SUBTOTAL(3,_xlfn.SINGLE(tbl_pros[RowId]))</f>
        <v>1</v>
      </c>
    </row>
    <row r="1136" spans="10:44">
      <c r="J1136" s="4">
        <v>1126</v>
      </c>
      <c r="K1136" s="20" t="s">
        <v>137</v>
      </c>
      <c r="L1136" s="2" t="s">
        <v>2191</v>
      </c>
      <c r="M1136" s="4">
        <v>1</v>
      </c>
      <c r="N1136" s="4" t="s">
        <v>2192</v>
      </c>
      <c r="O1136" s="21" t="str">
        <f>HYPERLINK("obsidian://open?vault=o2&amp;file=Random%20packages%20from%20Walmart.md","Random packages from Walmart")</f>
        <v>Random packages from Walmart</v>
      </c>
      <c r="P1136" s="11" t="s">
        <v>175</v>
      </c>
      <c r="AR1136" s="11">
        <f>SUBTOTAL(3,_xlfn.SINGLE(tbl_pros[RowId]))</f>
        <v>1</v>
      </c>
    </row>
    <row r="1137" spans="10:44">
      <c r="J1137" s="4">
        <v>1127</v>
      </c>
      <c r="K1137" s="20" t="s">
        <v>137</v>
      </c>
      <c r="L1137" s="2" t="s">
        <v>2193</v>
      </c>
      <c r="M1137" s="4">
        <v>1</v>
      </c>
      <c r="N1137" s="4" t="s">
        <v>2194</v>
      </c>
      <c r="O1137" s="21" t="str">
        <f>HYPERLINK("obsidian://open?vault=o2&amp;file=Haircut--Ring%20Lardner%20%281885-1933%29.md","Haircut--Ring Lardner (1885-1933)")</f>
        <v>Haircut--Ring Lardner (1885-1933)</v>
      </c>
      <c r="P1137" s="11" t="s">
        <v>175</v>
      </c>
      <c r="AR1137" s="11">
        <f>SUBTOTAL(3,_xlfn.SINGLE(tbl_pros[RowId]))</f>
        <v>1</v>
      </c>
    </row>
    <row r="1138" spans="10:44">
      <c r="J1138" s="4">
        <v>1128</v>
      </c>
      <c r="K1138" s="20" t="s">
        <v>137</v>
      </c>
      <c r="L1138" s="2" t="s">
        <v>2195</v>
      </c>
      <c r="M1138" s="4">
        <v>1</v>
      </c>
      <c r="N1138" s="4" t="s">
        <v>2196</v>
      </c>
      <c r="O1138" s="21" t="str">
        <f>HYPERLINK("obsidian://open?vault=o2&amp;file=How%20To%20Cook%20a%20Chicken%20Breast%20-%20FlavCity%20with%20Bobby%20Parrish.md","How To Cook a Chicken Breast - FlavCity with Bobby Parrish")</f>
        <v>How To Cook a Chicken Breast - FlavCity with Bobby Parrish</v>
      </c>
      <c r="P1138" s="11" t="s">
        <v>175</v>
      </c>
      <c r="AR1138" s="11">
        <f>SUBTOTAL(3,_xlfn.SINGLE(tbl_pros[RowId]))</f>
        <v>1</v>
      </c>
    </row>
    <row r="1139" spans="10:44">
      <c r="J1139" s="4">
        <v>1129</v>
      </c>
      <c r="K1139" s="20" t="s">
        <v>137</v>
      </c>
      <c r="L1139" s="2" t="s">
        <v>2197</v>
      </c>
      <c r="M1139" s="4">
        <v>1</v>
      </c>
      <c r="N1139" s="4" t="s">
        <v>2198</v>
      </c>
      <c r="O1139" s="21" t="str">
        <f>HYPERLINK("obsidian://open?vault=o2&amp;file=Amazon%E2%80%99s%20Satellite%20Internet%20Won%E2%80%99t%20Need%20a%20Giant%20Antenna.md","Amazon’s Satellite Internet Won’t Need a Giant Antenna")</f>
        <v>Amazon’s Satellite Internet Won’t Need a Giant Antenna</v>
      </c>
      <c r="P1139" s="11" t="s">
        <v>175</v>
      </c>
      <c r="AR1139" s="11">
        <f>SUBTOTAL(3,_xlfn.SINGLE(tbl_pros[RowId]))</f>
        <v>1</v>
      </c>
    </row>
    <row r="1140" spans="10:44">
      <c r="J1140" s="4">
        <v>1130</v>
      </c>
      <c r="K1140" s="20" t="s">
        <v>137</v>
      </c>
      <c r="L1140" s="2" t="s">
        <v>2199</v>
      </c>
      <c r="M1140" s="4">
        <v>1</v>
      </c>
      <c r="N1140" s="4" t="s">
        <v>2200</v>
      </c>
      <c r="O1140" s="21" t="str">
        <f>HYPERLINK("obsidian://open?vault=o2&amp;file=Relaxation%20Techniques.md","Relaxation Techniques")</f>
        <v>Relaxation Techniques</v>
      </c>
      <c r="P1140" s="11" t="s">
        <v>175</v>
      </c>
      <c r="AR1140" s="11">
        <f>SUBTOTAL(3,_xlfn.SINGLE(tbl_pros[RowId]))</f>
        <v>1</v>
      </c>
    </row>
    <row r="1141" spans="10:44">
      <c r="J1141" s="4">
        <v>1131</v>
      </c>
      <c r="K1141" s="20" t="s">
        <v>137</v>
      </c>
      <c r="L1141" s="2" t="s">
        <v>2201</v>
      </c>
      <c r="M1141" s="4">
        <v>1</v>
      </c>
      <c r="N1141" s="4" t="s">
        <v>2202</v>
      </c>
      <c r="O1141" s="21" t="str">
        <f>HYPERLINK("obsidian://open?vault=o2&amp;file=The%20Food%20Expiration%20Dates%20You%20Should%20Actually%20Follow.md","The Food Expiration Dates You Should Actually Follow")</f>
        <v>The Food Expiration Dates You Should Actually Follow</v>
      </c>
      <c r="P1141" s="11" t="s">
        <v>175</v>
      </c>
      <c r="AR1141" s="11">
        <f>SUBTOTAL(3,_xlfn.SINGLE(tbl_pros[RowId]))</f>
        <v>1</v>
      </c>
    </row>
    <row r="1142" spans="10:44">
      <c r="J1142" s="4">
        <v>1132</v>
      </c>
      <c r="K1142" s="20" t="s">
        <v>137</v>
      </c>
      <c r="L1142" s="2" t="s">
        <v>2203</v>
      </c>
      <c r="M1142" s="4">
        <v>1</v>
      </c>
      <c r="N1142" s="4" t="s">
        <v>2204</v>
      </c>
      <c r="O1142" s="21" t="str">
        <f>HYPERLINK("obsidian://open?vault=o2&amp;file=Hotel%20Parkerson%20%20OBX%20Connection%20Message%20Board.md","Hotel Parkerson  OBX Connection Message Board")</f>
        <v>Hotel Parkerson  OBX Connection Message Board</v>
      </c>
      <c r="P1142" s="11" t="s">
        <v>175</v>
      </c>
      <c r="AR1142" s="11">
        <f>SUBTOTAL(3,_xlfn.SINGLE(tbl_pros[RowId]))</f>
        <v>1</v>
      </c>
    </row>
    <row r="1143" spans="10:44">
      <c r="J1143" s="4">
        <v>1133</v>
      </c>
      <c r="K1143" s="20" t="s">
        <v>137</v>
      </c>
      <c r="L1143" s="2" t="s">
        <v>2205</v>
      </c>
      <c r="M1143" s="4">
        <v>1</v>
      </c>
      <c r="N1143" s="4" t="s">
        <v>2206</v>
      </c>
      <c r="O1143" s="21" t="str">
        <f>HYPERLINK("obsidian://open?vault=o2&amp;file=Putting%20a%20HALT%20to%20our%20Self-Destructive%20Behaviors%20-%20Pine%20Rest%20Newsroom.md","Putting a HALT to our Self-Destructive Behaviors - Pine Rest Newsroom")</f>
        <v>Putting a HALT to our Self-Destructive Behaviors - Pine Rest Newsroom</v>
      </c>
      <c r="P1143" s="11" t="s">
        <v>175</v>
      </c>
      <c r="AR1143" s="11">
        <f>SUBTOTAL(3,_xlfn.SINGLE(tbl_pros[RowId]))</f>
        <v>1</v>
      </c>
    </row>
    <row r="1144" spans="10:44">
      <c r="J1144" s="4">
        <v>1134</v>
      </c>
      <c r="K1144" s="20" t="s">
        <v>137</v>
      </c>
      <c r="L1144" s="2" t="s">
        <v>2207</v>
      </c>
      <c r="M1144" s="4">
        <v>1</v>
      </c>
      <c r="N1144" s="4" t="s">
        <v>2208</v>
      </c>
      <c r="O1144" s="21" t="str">
        <f>HYPERLINK("obsidian://open?vault=o2&amp;file=rAutoHotkey%20-%20Unicode%20fractions.md","rAutoHotkey - Unicode fractions")</f>
        <v>rAutoHotkey - Unicode fractions</v>
      </c>
      <c r="P1144" s="11" t="s">
        <v>175</v>
      </c>
      <c r="AR1144" s="11">
        <f>SUBTOTAL(3,_xlfn.SINGLE(tbl_pros[RowId]))</f>
        <v>1</v>
      </c>
    </row>
    <row r="1145" spans="10:44">
      <c r="J1145" s="4">
        <v>1135</v>
      </c>
      <c r="K1145" s="20" t="s">
        <v>137</v>
      </c>
      <c r="L1145" s="2" t="s">
        <v>2209</v>
      </c>
      <c r="M1145" s="4">
        <v>1</v>
      </c>
      <c r="N1145" s="4" t="s">
        <v>2210</v>
      </c>
      <c r="O1145" s="21" t="str">
        <f>HYPERLINK("obsidian://open?vault=o2&amp;file=13%20Crucial%20Questions%20to%20Ask%20a%20Realtor%20When%20Selling.md","13 Crucial Questions to Ask a Realtor When Selling")</f>
        <v>13 Crucial Questions to Ask a Realtor When Selling</v>
      </c>
      <c r="P1145" s="11" t="s">
        <v>175</v>
      </c>
      <c r="AR1145" s="11">
        <f>SUBTOTAL(3,_xlfn.SINGLE(tbl_pros[RowId]))</f>
        <v>1</v>
      </c>
    </row>
    <row r="1146" spans="10:44">
      <c r="J1146" s="4">
        <v>1136</v>
      </c>
      <c r="K1146" s="20" t="s">
        <v>137</v>
      </c>
      <c r="L1146" s="2" t="s">
        <v>2211</v>
      </c>
      <c r="M1146" s="4">
        <v>1</v>
      </c>
      <c r="N1146" s="4" t="s">
        <v>2212</v>
      </c>
      <c r="O1146" s="21" t="str">
        <f>HYPERLINK("obsidian://open?vault=o2&amp;file=2022%E2%80%99s%20seismic%20shift%20in%20US%20tech%20policy%20will%20change%20how%20we%20innovate.md","2022’s seismic shift in US tech policy will change how we innovate")</f>
        <v>2022’s seismic shift in US tech policy will change how we innovate</v>
      </c>
      <c r="P1146" s="11" t="s">
        <v>175</v>
      </c>
      <c r="AR1146" s="11">
        <f>SUBTOTAL(3,_xlfn.SINGLE(tbl_pros[RowId]))</f>
        <v>1</v>
      </c>
    </row>
    <row r="1147" spans="10:44">
      <c r="J1147" s="4">
        <v>1137</v>
      </c>
      <c r="K1147" s="20" t="s">
        <v>137</v>
      </c>
      <c r="L1147" s="2" t="s">
        <v>2213</v>
      </c>
      <c r="M1147" s="4">
        <v>1</v>
      </c>
      <c r="N1147" s="4" t="s">
        <v>2214</v>
      </c>
      <c r="O1147" s="21" t="str">
        <f>HYPERLINK("obsidian://open?vault=o2&amp;file=What%20is%20Thread%20and%20how%20will%20it%20help%20your%20smart%20home.md","What is Thread and how will it help your smart home")</f>
        <v>What is Thread and how will it help your smart home</v>
      </c>
      <c r="P1147" s="11" t="s">
        <v>175</v>
      </c>
      <c r="AR1147" s="11">
        <f>SUBTOTAL(3,_xlfn.SINGLE(tbl_pros[RowId]))</f>
        <v>1</v>
      </c>
    </row>
    <row r="1148" spans="10:44">
      <c r="J1148" s="4">
        <v>1138</v>
      </c>
      <c r="K1148" s="20" t="s">
        <v>137</v>
      </c>
      <c r="L1148" s="2" t="s">
        <v>2215</v>
      </c>
      <c r="M1148" s="4">
        <v>1</v>
      </c>
      <c r="N1148" s="4" t="s">
        <v>2216</v>
      </c>
      <c r="O1148" s="21" t="str">
        <f>HYPERLINK("obsidian://open?vault=o2&amp;file=CIA%20Wanted%20His%20Hotel%20as%20Bay%20of%20Pigs%20Haven%2C%20Moore%20Testifies.md","CIA Wanted His Hotel as Bay of Pigs Haven, Moore Testifies")</f>
        <v>CIA Wanted His Hotel as Bay of Pigs Haven, Moore Testifies</v>
      </c>
      <c r="P1148" s="11" t="s">
        <v>175</v>
      </c>
      <c r="AR1148" s="11">
        <f>SUBTOTAL(3,_xlfn.SINGLE(tbl_pros[RowId]))</f>
        <v>1</v>
      </c>
    </row>
    <row r="1149" spans="10:44">
      <c r="J1149" s="4">
        <v>1139</v>
      </c>
      <c r="K1149" s="20" t="s">
        <v>137</v>
      </c>
      <c r="L1149" s="2" t="s">
        <v>2217</v>
      </c>
      <c r="M1149" s="4">
        <v>1</v>
      </c>
      <c r="N1149" s="4" t="s">
        <v>2218</v>
      </c>
      <c r="O1149" s="21" t="str">
        <f>HYPERLINK("obsidian://open?vault=o2&amp;file=22%20FREE%20Windows%20Utilities%20EVERY%20User%20MUST%20Know%20About%21.md","22 FREE Windows Utilities EVERY User MUST Know About!")</f>
        <v>22 FREE Windows Utilities EVERY User MUST Know About!</v>
      </c>
      <c r="P1149" s="11" t="s">
        <v>175</v>
      </c>
      <c r="AR1149" s="11">
        <f>SUBTOTAL(3,_xlfn.SINGLE(tbl_pros[RowId]))</f>
        <v>1</v>
      </c>
    </row>
    <row r="1150" spans="10:44">
      <c r="J1150" s="4">
        <v>1140</v>
      </c>
      <c r="K1150" s="20" t="s">
        <v>137</v>
      </c>
      <c r="L1150" s="2" t="s">
        <v>2219</v>
      </c>
      <c r="M1150" s="4">
        <v>1</v>
      </c>
      <c r="N1150" s="4" t="s">
        <v>2220</v>
      </c>
      <c r="O115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P1150" s="11" t="s">
        <v>175</v>
      </c>
      <c r="AR1150" s="11">
        <f>SUBTOTAL(3,_xlfn.SINGLE(tbl_pros[RowId]))</f>
        <v>1</v>
      </c>
    </row>
    <row r="1151" spans="10:44">
      <c r="J1151" s="4">
        <v>1141</v>
      </c>
      <c r="K1151" s="20" t="s">
        <v>137</v>
      </c>
      <c r="L1151" s="2" t="s">
        <v>2221</v>
      </c>
      <c r="M1151" s="4">
        <v>1</v>
      </c>
      <c r="N1151" s="4" t="s">
        <v>2222</v>
      </c>
      <c r="O1151" s="21" t="str">
        <f>HYPERLINK("obsidian://open?vault=o2&amp;file=I%20Made%20an%20App%20that%20KEEPS%20Windows%2011%20Debloated%20%26%20Optimized.md","I Made an App that KEEPS Windows 11 Debloated &amp; Optimized")</f>
        <v>I Made an App that KEEPS Windows 11 Debloated &amp; Optimized</v>
      </c>
      <c r="P1151" s="11" t="s">
        <v>175</v>
      </c>
      <c r="AR1151" s="11">
        <f>SUBTOTAL(3,_xlfn.SINGLE(tbl_pros[RowId]))</f>
        <v>1</v>
      </c>
    </row>
    <row r="1152" spans="10:44">
      <c r="J1152" s="4">
        <v>1142</v>
      </c>
      <c r="K1152" s="20" t="s">
        <v>137</v>
      </c>
      <c r="L1152" s="2" t="s">
        <v>2223</v>
      </c>
      <c r="M1152" s="4">
        <v>1</v>
      </c>
      <c r="N1152" s="4" t="s">
        <v>2224</v>
      </c>
      <c r="O1152" s="21" t="str">
        <f>HYPERLINK("obsidian://open?vault=o2&amp;file=My%20Clean%2C%20Modern%20Desk%20Setup%20for%20Productivity%20%26%20Creativity.md","My Clean, Modern Desk Setup for Productivity &amp; Creativity")</f>
        <v>My Clean, Modern Desk Setup for Productivity &amp; Creativity</v>
      </c>
      <c r="P1152" s="11" t="s">
        <v>175</v>
      </c>
      <c r="AR1152" s="11">
        <f>SUBTOTAL(3,_xlfn.SINGLE(tbl_pros[RowId]))</f>
        <v>1</v>
      </c>
    </row>
    <row r="1153" spans="10:44">
      <c r="J1153" s="4">
        <v>1143</v>
      </c>
      <c r="K1153" s="20" t="s">
        <v>137</v>
      </c>
      <c r="L1153" s="2" t="s">
        <v>2225</v>
      </c>
      <c r="M1153" s="4">
        <v>1</v>
      </c>
      <c r="N1153" s="4" t="s">
        <v>2226</v>
      </c>
      <c r="O1153" s="21" t="str">
        <f>HYPERLINK("obsidian://open?vault=o2&amp;file=The%20Perfect%20Diane%20Sauce%20-%20Chicken%20Diane%20%20Chef%20Jean-Pierre.md","The Perfect Diane Sauce - Chicken Diane  Chef Jean-Pierre")</f>
        <v>The Perfect Diane Sauce - Chicken Diane  Chef Jean-Pierre</v>
      </c>
      <c r="P1153" s="11" t="s">
        <v>175</v>
      </c>
      <c r="AR1153" s="11">
        <f>SUBTOTAL(3,_xlfn.SINGLE(tbl_pros[RowId]))</f>
        <v>1</v>
      </c>
    </row>
    <row r="1154" spans="10:44">
      <c r="J1154" s="4">
        <v>1144</v>
      </c>
      <c r="K1154" s="20" t="s">
        <v>137</v>
      </c>
      <c r="L1154" s="2" t="s">
        <v>2227</v>
      </c>
      <c r="M1154" s="4">
        <v>1</v>
      </c>
      <c r="N1154" s="4" t="s">
        <v>2228</v>
      </c>
      <c r="O1154" s="21" t="str">
        <f>HYPERLINK("obsidian://open?vault=o2&amp;file=Windows%2010%20and%2011%20Wont%20Boot%2C%20How%20To%20Fix%20UEFI%20Partition.md","Windows 10 and 11 Wont Boot, How To Fix UEFI Partition")</f>
        <v>Windows 10 and 11 Wont Boot, How To Fix UEFI Partition</v>
      </c>
      <c r="P1154" s="11" t="s">
        <v>175</v>
      </c>
      <c r="AR1154" s="11">
        <f>SUBTOTAL(3,_xlfn.SINGLE(tbl_pros[RowId]))</f>
        <v>1</v>
      </c>
    </row>
    <row r="1155" spans="10:44">
      <c r="J1155" s="4">
        <v>1145</v>
      </c>
      <c r="K1155" s="20" t="s">
        <v>137</v>
      </c>
      <c r="L1155" s="2" t="s">
        <v>2229</v>
      </c>
      <c r="M1155" s="4">
        <v>1</v>
      </c>
      <c r="N1155" s="4" t="s">
        <v>2230</v>
      </c>
      <c r="O1155" s="21" t="str">
        <f>HYPERLINK("obsidian://open?vault=o2&amp;file=How%20To%20Hide%20Wires%20Behind%20Wall%20-%20NO%20DRYWALL%20REPAIR%20NEEDED%20Hiding%20Wires.md","How To Hide Wires Behind Wall - NO DRYWALL REPAIR NEEDED Hiding Wires")</f>
        <v>How To Hide Wires Behind Wall - NO DRYWALL REPAIR NEEDED Hiding Wires</v>
      </c>
      <c r="P1155" s="11" t="s">
        <v>175</v>
      </c>
      <c r="AR1155" s="11">
        <f>SUBTOTAL(3,_xlfn.SINGLE(tbl_pros[RowId]))</f>
        <v>1</v>
      </c>
    </row>
    <row r="1156" spans="10:44">
      <c r="J1156" s="4">
        <v>1146</v>
      </c>
      <c r="K1156" s="20" t="s">
        <v>137</v>
      </c>
      <c r="L1156" s="2" t="s">
        <v>2231</v>
      </c>
      <c r="M1156" s="4">
        <v>1</v>
      </c>
      <c r="N1156" s="4" t="s">
        <v>2232</v>
      </c>
      <c r="O1156"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P1156" s="11" t="s">
        <v>175</v>
      </c>
      <c r="AR1156" s="11">
        <f>SUBTOTAL(3,_xlfn.SINGLE(tbl_pros[RowId]))</f>
        <v>1</v>
      </c>
    </row>
    <row r="1157" spans="10:44">
      <c r="J1157" s="4">
        <v>1147</v>
      </c>
      <c r="K1157" s="20" t="s">
        <v>137</v>
      </c>
      <c r="L1157" s="2" t="s">
        <v>2233</v>
      </c>
      <c r="M1157" s="4">
        <v>1</v>
      </c>
      <c r="N1157" s="4" t="s">
        <v>2234</v>
      </c>
      <c r="O1157"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P1157" s="11" t="s">
        <v>175</v>
      </c>
      <c r="AR1157" s="11">
        <f>SUBTOTAL(3,_xlfn.SINGLE(tbl_pros[RowId]))</f>
        <v>1</v>
      </c>
    </row>
    <row r="1158" spans="10:44">
      <c r="J1158" s="4">
        <v>1148</v>
      </c>
      <c r="K1158" s="20" t="s">
        <v>137</v>
      </c>
      <c r="L1158" s="2" t="s">
        <v>2235</v>
      </c>
      <c r="M1158" s="4">
        <v>1</v>
      </c>
      <c r="N1158" s="4" t="s">
        <v>2236</v>
      </c>
      <c r="O1158" s="21" t="str">
        <f>HYPERLINK("obsidian://open?vault=o2&amp;file=Flat%20Icon%20and%20Shadow%20Using%20The%20Blend%20Tool%20In%20Adobe%20Illustrator.md","Flat Icon and Shadow Using The Blend Tool In Adobe Illustrator")</f>
        <v>Flat Icon and Shadow Using The Blend Tool In Adobe Illustrator</v>
      </c>
      <c r="P1158" s="11" t="s">
        <v>175</v>
      </c>
      <c r="AR1158" s="11">
        <f>SUBTOTAL(3,_xlfn.SINGLE(tbl_pros[RowId]))</f>
        <v>1</v>
      </c>
    </row>
    <row r="1159" spans="10:44">
      <c r="J1159" s="4">
        <v>1149</v>
      </c>
      <c r="K1159" s="20" t="s">
        <v>137</v>
      </c>
      <c r="L1159" s="2" t="s">
        <v>2237</v>
      </c>
      <c r="M1159" s="4">
        <v>1</v>
      </c>
      <c r="N1159" s="4" t="s">
        <v>2238</v>
      </c>
      <c r="O1159" s="21" t="str">
        <f>HYPERLINK("obsidian://open?vault=o2&amp;file=Time%20to%20UNSUBSCRIBE%20from%20Disney%2B%2C%20Netflix%2C%20etc%21.md","Time to UNSUBSCRIBE from Disney+, Netflix, etc!")</f>
        <v>Time to UNSUBSCRIBE from Disney+, Netflix, etc!</v>
      </c>
      <c r="P1159" s="11" t="s">
        <v>175</v>
      </c>
      <c r="AR1159" s="11">
        <f>SUBTOTAL(3,_xlfn.SINGLE(tbl_pros[RowId]))</f>
        <v>1</v>
      </c>
    </row>
    <row r="1160" spans="10:44">
      <c r="J1160" s="4">
        <v>1150</v>
      </c>
      <c r="K1160" s="20" t="s">
        <v>137</v>
      </c>
      <c r="L1160" s="2" t="s">
        <v>2239</v>
      </c>
      <c r="M1160" s="4">
        <v>1</v>
      </c>
      <c r="N1160" s="4" t="s">
        <v>2240</v>
      </c>
      <c r="O1160" s="21" t="str">
        <f>HYPERLINK("obsidian://open?vault=o2&amp;file=Better%20Than%20Grandmas%20Dinner%21%20My%20Parents%20Were%20Stunned%20After%20Trying%20It%21%21%21.md","Better Than Grandmas Dinner! My Parents Were Stunned After Trying It!!!")</f>
        <v>Better Than Grandmas Dinner! My Parents Were Stunned After Trying It!!!</v>
      </c>
      <c r="P1160" s="11" t="s">
        <v>175</v>
      </c>
      <c r="AR1160" s="11">
        <f>SUBTOTAL(3,_xlfn.SINGLE(tbl_pros[RowId]))</f>
        <v>1</v>
      </c>
    </row>
    <row r="1161" spans="10:44">
      <c r="J1161" s="4">
        <v>1151</v>
      </c>
      <c r="K1161" s="20" t="s">
        <v>137</v>
      </c>
      <c r="L1161" s="2" t="s">
        <v>2241</v>
      </c>
      <c r="M1161" s="4">
        <v>1</v>
      </c>
      <c r="N1161" s="4" t="s">
        <v>2242</v>
      </c>
      <c r="O1161" s="21" t="str">
        <f>HYPERLINK("obsidian://open?vault=o2&amp;file=How%20I%20Would%20Learn%20Obsidian%20MD%20%28If%20I%20could%20start%20over%29.md","How I Would Learn Obsidian MD (If I could start over)")</f>
        <v>How I Would Learn Obsidian MD (If I could start over)</v>
      </c>
      <c r="P1161" s="11" t="s">
        <v>175</v>
      </c>
      <c r="AR1161" s="11">
        <f>SUBTOTAL(3,_xlfn.SINGLE(tbl_pros[RowId]))</f>
        <v>1</v>
      </c>
    </row>
    <row r="1162" spans="10:44">
      <c r="J1162" s="4">
        <v>1152</v>
      </c>
      <c r="K1162" s="20" t="s">
        <v>137</v>
      </c>
      <c r="L1162" s="2" t="s">
        <v>2243</v>
      </c>
      <c r="M1162" s="4">
        <v>1</v>
      </c>
      <c r="N1162" s="4" t="s">
        <v>2244</v>
      </c>
      <c r="O1162" s="21" t="str">
        <f>HYPERLINK("obsidian://open?vault=o2&amp;file=8%20Easy%20Food%20Plating%20Hacks%20That%20Will%20Blow%20You%20Away.md","8 Easy Food Plating Hacks That Will Blow You Away")</f>
        <v>8 Easy Food Plating Hacks That Will Blow You Away</v>
      </c>
      <c r="P1162" s="11" t="s">
        <v>175</v>
      </c>
      <c r="AR1162" s="11">
        <f>SUBTOTAL(3,_xlfn.SINGLE(tbl_pros[RowId]))</f>
        <v>1</v>
      </c>
    </row>
    <row r="1163" spans="10:44">
      <c r="J1163" s="4">
        <v>1153</v>
      </c>
      <c r="K1163" s="20" t="s">
        <v>137</v>
      </c>
      <c r="L1163" s="2" t="s">
        <v>2245</v>
      </c>
      <c r="M1163" s="4">
        <v>1</v>
      </c>
      <c r="N1163" s="4" t="s">
        <v>2246</v>
      </c>
      <c r="O1163" s="21" t="str">
        <f>HYPERLINK("obsidian://open?vault=o2&amp;file=Free%20Lightroom%20Tutorial%20%20Adobe%20Lightroom%20Essentials%20Training%20Course.md","Free Lightroom Tutorial  Adobe Lightroom Essentials Training Course")</f>
        <v>Free Lightroom Tutorial  Adobe Lightroom Essentials Training Course</v>
      </c>
      <c r="P1163" s="11" t="s">
        <v>175</v>
      </c>
      <c r="AR1163" s="11">
        <f>SUBTOTAL(3,_xlfn.SINGLE(tbl_pros[RowId]))</f>
        <v>1</v>
      </c>
    </row>
    <row r="1164" spans="10:44">
      <c r="J1164" s="4">
        <v>1154</v>
      </c>
      <c r="K1164" s="20" t="s">
        <v>137</v>
      </c>
      <c r="L1164" s="2" t="s">
        <v>2247</v>
      </c>
      <c r="M1164" s="4">
        <v>1</v>
      </c>
      <c r="N1164" s="4" t="s">
        <v>2248</v>
      </c>
      <c r="O1164"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P1164" s="11" t="s">
        <v>175</v>
      </c>
      <c r="AR1164" s="11">
        <f>SUBTOTAL(3,_xlfn.SINGLE(tbl_pros[RowId]))</f>
        <v>1</v>
      </c>
    </row>
    <row r="1165" spans="10:44">
      <c r="J1165" s="4">
        <v>1155</v>
      </c>
      <c r="K1165" s="20" t="s">
        <v>137</v>
      </c>
      <c r="L1165" s="2" t="s">
        <v>2249</v>
      </c>
      <c r="M1165" s="4">
        <v>1</v>
      </c>
      <c r="N1165" s="4" t="s">
        <v>2250</v>
      </c>
      <c r="O1165" s="21" t="str">
        <f>HYPERLINK("obsidian://open?vault=o2&amp;file=The%20Ultimate%20Cable%20Management%20Tier%20List.md","The Ultimate Cable Management Tier List")</f>
        <v>The Ultimate Cable Management Tier List</v>
      </c>
      <c r="P1165" s="11" t="s">
        <v>175</v>
      </c>
      <c r="AR1165" s="11">
        <f>SUBTOTAL(3,_xlfn.SINGLE(tbl_pros[RowId]))</f>
        <v>1</v>
      </c>
    </row>
    <row r="1166" spans="10:44">
      <c r="J1166" s="4">
        <v>1156</v>
      </c>
      <c r="K1166" s="20" t="s">
        <v>137</v>
      </c>
      <c r="L1166" s="2" t="s">
        <v>2251</v>
      </c>
      <c r="M1166" s="4">
        <v>1</v>
      </c>
      <c r="N1166" s="4" t="s">
        <v>2252</v>
      </c>
      <c r="O1166" s="21" t="str">
        <f>HYPERLINK("obsidian://open?vault=o2&amp;file=20%20AMAZING%20Art%20Workspace%20Hacks%20%28FREE%20or%20cheap%21%29.md","20 AMAZING Art Workspace Hacks (FREE or cheap!)")</f>
        <v>20 AMAZING Art Workspace Hacks (FREE or cheap!)</v>
      </c>
      <c r="P1166" s="11" t="s">
        <v>175</v>
      </c>
      <c r="AR1166" s="11">
        <f>SUBTOTAL(3,_xlfn.SINGLE(tbl_pros[RowId]))</f>
        <v>1</v>
      </c>
    </row>
    <row r="1167" spans="10:44">
      <c r="J1167" s="4">
        <v>1157</v>
      </c>
      <c r="K1167" s="20" t="s">
        <v>138</v>
      </c>
      <c r="L1167" s="2" t="s">
        <v>2253</v>
      </c>
      <c r="M1167" s="4">
        <v>5</v>
      </c>
      <c r="N1167" s="4" t="s">
        <v>2254</v>
      </c>
      <c r="O1167" s="21" t="str">
        <f>HYPERLINK("obsidian://open?vault=o2&amp;file=gEventTest.md","gEventTest")</f>
        <v>gEventTest</v>
      </c>
      <c r="P1167" s="11" t="s">
        <v>175</v>
      </c>
      <c r="Q1167" s="21" t="str">
        <f>HYPERLINK("obsidian://open?vault=o2&amp;file=testing%20gevents%20offset.md","testing gevents offset")</f>
        <v>testing gevents offset</v>
      </c>
      <c r="R1167" s="11" t="s">
        <v>175</v>
      </c>
      <c r="S1167" s="21" t="str">
        <f>HYPERLINK("obsidian://open?vault=o2&amp;file=Untitled%201.md","Untitled 1")</f>
        <v>Untitled 1</v>
      </c>
      <c r="T1167" s="11" t="s">
        <v>175</v>
      </c>
      <c r="U1167" s="21" t="str">
        <f>HYPERLINK("obsidian://open?vault=o2&amp;file=2025-01-31.md","2025-01-31")</f>
        <v>2025-01-31</v>
      </c>
      <c r="V1167" s="11" t="s">
        <v>175</v>
      </c>
      <c r="W1167" s="21" t="str">
        <f>HYPERLINK("obsidian://open?vault=o2&amp;file=2025-02-04.md","2025-02-04")</f>
        <v>2025-02-04</v>
      </c>
      <c r="X1167" s="11" t="s">
        <v>175</v>
      </c>
      <c r="AR1167" s="11">
        <f>SUBTOTAL(3,_xlfn.SINGLE(tbl_pros[RowId]))</f>
        <v>1</v>
      </c>
    </row>
    <row r="1168" spans="10:44">
      <c r="J1168" s="4">
        <v>1158</v>
      </c>
      <c r="K1168" s="20" t="s">
        <v>2255</v>
      </c>
      <c r="L1168" s="2" t="s">
        <v>2256</v>
      </c>
      <c r="M1168" s="4">
        <v>1</v>
      </c>
      <c r="N1168" s="4" t="s">
        <v>2257</v>
      </c>
      <c r="O1168" s="21" t="str">
        <f>HYPERLINK("obsidian://open?vault=o2&amp;file=YTV%20Template.md","YTV Template")</f>
        <v>YTV Template</v>
      </c>
      <c r="P1168" s="11" t="s">
        <v>175</v>
      </c>
      <c r="AR1168" s="11">
        <f>SUBTOTAL(3,_xlfn.SINGLE(tbl_pros[RowId]))</f>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C90"/>
  </sheetPr>
  <dimension ref="A2:AF395"/>
  <sheetViews>
    <sheetView showGridLines="0" workbookViewId="0">
      <selection activeCell="C6" sqref="C6"/>
    </sheetView>
  </sheetViews>
  <sheetFormatPr defaultRowHeight="15"/>
  <cols>
    <col min="1" max="1" width="9.23046875" style="260"/>
    <col min="3" max="3" width="21" customWidth="1"/>
    <col min="4" max="5" width="13" customWidth="1"/>
    <col min="10" max="10" width="8" customWidth="1"/>
    <col min="11" max="11" width="18" customWidth="1"/>
    <col min="12" max="12" width="8" customWidth="1"/>
    <col min="13" max="13" width="18" customWidth="1"/>
    <col min="14" max="14" width="1.07421875" customWidth="1"/>
    <col min="15" max="15" width="18" customWidth="1"/>
    <col min="16" max="16" width="1.07421875" customWidth="1"/>
    <col min="17" max="17" width="18" customWidth="1"/>
    <col min="18" max="18" width="1.07421875" customWidth="1"/>
    <col min="19" max="19" width="18" customWidth="1"/>
    <col min="20" max="20" width="1.07421875" customWidth="1"/>
    <col min="21" max="21" width="18" customWidth="1"/>
    <col min="22" max="22" width="1.07421875" customWidth="1"/>
    <col min="23" max="23" width="18" customWidth="1"/>
    <col min="24" max="24" width="1.07421875" customWidth="1"/>
    <col min="25" max="25" width="18" customWidth="1"/>
    <col min="26" max="26" width="1.07421875" customWidth="1"/>
    <col min="27" max="27" width="18" customWidth="1"/>
    <col min="28" max="28" width="1.07421875" customWidth="1"/>
    <col min="29" max="29" width="18" customWidth="1"/>
    <col min="30" max="30" width="1.07421875" customWidth="1"/>
    <col min="31" max="31" width="18" customWidth="1"/>
    <col min="32" max="32" width="1.07421875" customWidth="1"/>
  </cols>
  <sheetData>
    <row r="2" spans="3:32" ht="29.5">
      <c r="C2" s="24" t="s">
        <v>2258</v>
      </c>
    </row>
    <row r="3" spans="3:32">
      <c r="C3" s="2" t="s">
        <v>2259</v>
      </c>
    </row>
    <row r="4" spans="3:32">
      <c r="C4" s="2" t="s">
        <v>2260</v>
      </c>
    </row>
    <row r="5" spans="3:32" ht="18">
      <c r="C5" s="25" t="s">
        <v>0</v>
      </c>
      <c r="D5" s="26" t="s">
        <v>140</v>
      </c>
      <c r="E5" s="26" t="s">
        <v>141</v>
      </c>
    </row>
    <row r="6" spans="3:32">
      <c r="C6" s="27" t="s">
        <v>4612</v>
      </c>
      <c r="D6" s="4">
        <f>COUNTA(_xlfn.UNIQUE(_xlfn._xlws.FILTER(tbl_tags[Tags],tbl_tags[IsVisible])))</f>
        <v>382</v>
      </c>
      <c r="E6" s="4">
        <f>_xlfn.AGGREGATE(3,3,tbl_tags[Tags])</f>
        <v>384</v>
      </c>
    </row>
    <row r="7" spans="3:32">
      <c r="C7" s="27" t="s">
        <v>2261</v>
      </c>
      <c r="D7" s="4">
        <f>COUNTA(_xlfn.UNIQUE(_xlfn._xlws.FILTER(tbl_tags[Tags],tbl_tags[IsVisible])))</f>
        <v>382</v>
      </c>
      <c r="E7" s="4">
        <f>_xlfn.AGGREGATE(3,3,tbl_tags[Tags])</f>
        <v>384</v>
      </c>
    </row>
    <row r="8" spans="3:32" ht="15.5">
      <c r="C8" s="27" t="s">
        <v>3</v>
      </c>
      <c r="E8" s="4">
        <f>_xlfn.AGGREGATE(9,3,tbl_tags[Files])</f>
        <v>1389</v>
      </c>
      <c r="K8" s="5" t="str">
        <f>IFERROR(IF(COUNTA(tbl_tags[RowId])&lt;&gt;SUM(tbl_tags[IsVisible]),"Column filters applied--Totals now reflect column filters!",""),"")</f>
        <v/>
      </c>
    </row>
    <row r="10" spans="3:32">
      <c r="J10" s="28" t="s">
        <v>8</v>
      </c>
      <c r="K10" s="29" t="s">
        <v>2261</v>
      </c>
      <c r="L10" s="28" t="s">
        <v>3</v>
      </c>
      <c r="M10" s="30" t="s">
        <v>144</v>
      </c>
      <c r="N10" s="12" t="s">
        <v>145</v>
      </c>
      <c r="O10" s="30" t="s">
        <v>146</v>
      </c>
      <c r="P10" s="12" t="s">
        <v>147</v>
      </c>
      <c r="Q10" s="30" t="s">
        <v>148</v>
      </c>
      <c r="R10" s="12" t="s">
        <v>149</v>
      </c>
      <c r="S10" s="30" t="s">
        <v>150</v>
      </c>
      <c r="T10" s="12" t="s">
        <v>151</v>
      </c>
      <c r="U10" s="30" t="s">
        <v>152</v>
      </c>
      <c r="V10" s="12" t="s">
        <v>153</v>
      </c>
      <c r="W10" s="30" t="s">
        <v>154</v>
      </c>
      <c r="X10" s="12" t="s">
        <v>155</v>
      </c>
      <c r="Y10" s="30" t="s">
        <v>156</v>
      </c>
      <c r="Z10" s="12" t="s">
        <v>157</v>
      </c>
      <c r="AA10" s="30" t="s">
        <v>158</v>
      </c>
      <c r="AB10" s="12" t="s">
        <v>159</v>
      </c>
      <c r="AC10" s="30" t="s">
        <v>160</v>
      </c>
      <c r="AD10" s="12" t="s">
        <v>161</v>
      </c>
      <c r="AE10" s="30" t="s">
        <v>162</v>
      </c>
      <c r="AF10" s="31" t="s">
        <v>9</v>
      </c>
    </row>
    <row r="11" spans="3:32">
      <c r="E11" t="str">
        <f>IF(G11&lt;&gt;tbl_tags[[#This Row],[Tags]],"X","")</f>
        <v/>
      </c>
      <c r="G11" s="259" t="s">
        <v>1849</v>
      </c>
      <c r="J11" s="4">
        <v>338</v>
      </c>
      <c r="K11" s="20" t="s">
        <v>1849</v>
      </c>
      <c r="L11" s="4">
        <v>1</v>
      </c>
      <c r="M11" s="21" t="str">
        <f>HYPERLINK("obsidian://open?vault=o2&amp;file=Tag%20Usage%20Query3.md","Tag Usage Query3")</f>
        <v>Tag Usage Query3</v>
      </c>
      <c r="N11" s="11" t="s">
        <v>175</v>
      </c>
      <c r="AF11" s="11">
        <f>SUBTOTAL(3,_xlfn.SINGLE(tbl_tags[RowId]))</f>
        <v>1</v>
      </c>
    </row>
    <row r="12" spans="3:32">
      <c r="E12" t="str">
        <f>IF(G12&lt;&gt;tbl_tags[[#This Row],[Tags]],"X","")</f>
        <v/>
      </c>
      <c r="G12" s="258" t="s">
        <v>1840</v>
      </c>
      <c r="J12" s="4">
        <v>337</v>
      </c>
      <c r="K12" s="20" t="s">
        <v>1840</v>
      </c>
      <c r="L12" s="4">
        <v>1</v>
      </c>
      <c r="M12" s="21" t="str">
        <f>HYPERLINK("obsidian://open?vault=o2&amp;file=%E2%9A%92%EF%B8%8F%20Tag%20Usage%20Queries.md","⚒️ Tag Usage Queries")</f>
        <v>⚒️ Tag Usage Queries</v>
      </c>
      <c r="N12" s="11" t="s">
        <v>175</v>
      </c>
      <c r="AF12" s="11">
        <f>SUBTOTAL(3,_xlfn.SINGLE(tbl_tags[RowId]))</f>
        <v>1</v>
      </c>
    </row>
    <row r="13" spans="3:32">
      <c r="E13" t="str">
        <f>IF(G13&lt;&gt;tbl_tags[[#This Row],[Tags]],"X","")</f>
        <v/>
      </c>
      <c r="G13" s="259" t="s">
        <v>1838</v>
      </c>
      <c r="J13" s="4">
        <v>336</v>
      </c>
      <c r="K13" s="20" t="s">
        <v>1838</v>
      </c>
      <c r="L13" s="4">
        <v>2</v>
      </c>
      <c r="M13" s="21" t="str">
        <f>HYPERLINK("obsidian://open?vault=o2&amp;file=22%20FREE%20Windows%20Utilities%20EVERY%20User%20MUST%20Know%20About%21.md","22 FREE Windows Utilities EVERY User MUST Know About!")</f>
        <v>22 FREE Windows Utilities EVERY User MUST Know About!</v>
      </c>
      <c r="N13" s="11" t="s">
        <v>175</v>
      </c>
      <c r="O13" s="21" t="str">
        <f>HYPERLINK("obsidian://open?vault=o2&amp;file=I%20Made%20an%20App%20that%20KEEPS%20Windows%2011%20Debloated%20%26%20Optimized.md","I Made an App that KEEPS Windows 11 Debloated &amp; Optimized")</f>
        <v>I Made an App that KEEPS Windows 11 Debloated &amp; Optimized</v>
      </c>
      <c r="P13" s="11" t="s">
        <v>175</v>
      </c>
      <c r="AF13" s="11">
        <f>SUBTOTAL(3,_xlfn.SINGLE(tbl_tags[RowId]))</f>
        <v>1</v>
      </c>
    </row>
    <row r="14" spans="3:32">
      <c r="E14" t="str">
        <f>IF(G14&lt;&gt;tbl_tags[[#This Row],[Tags]],"X","")</f>
        <v/>
      </c>
      <c r="G14" s="258" t="s">
        <v>2567</v>
      </c>
      <c r="J14" s="4">
        <v>347</v>
      </c>
      <c r="K14" s="20" t="s">
        <v>2567</v>
      </c>
      <c r="L14" s="4">
        <v>20</v>
      </c>
      <c r="M14" s="21" t="str">
        <f>HYPERLINK("obsidian://open?vault=o2&amp;file=%E2%9A%A1%20Add%20Notebook%20Areas%20and%20Resources%20Project.md","⚡ Add Notebook Areas and Resources Project")</f>
        <v>⚡ Add Notebook Areas and Resources Project</v>
      </c>
      <c r="N14" s="11" t="s">
        <v>175</v>
      </c>
      <c r="O14" s="21" t="str">
        <f>HYPERLINK("obsidian://open?vault=o2&amp;file=%E2%9A%A1%20My%20Projects.md","⚡ My Projects")</f>
        <v>⚡ My Projects</v>
      </c>
      <c r="P14" s="11" t="s">
        <v>175</v>
      </c>
      <c r="Q14" s="21" t="str">
        <f>HYPERLINK("obsidian://open?vault=o2&amp;file=%E2%9A%A1%20CasaOS%20Project.md","⚡ CasaOS Project")</f>
        <v>⚡ CasaOS Project</v>
      </c>
      <c r="R14" s="11" t="s">
        <v>175</v>
      </c>
      <c r="S14" s="21" t="str">
        <f>HYPERLINK("obsidian://open?vault=o2&amp;file=%E2%9A%A1%20Cheatsheets%20Library.md","⚡ Cheatsheets Library")</f>
        <v>⚡ Cheatsheets Library</v>
      </c>
      <c r="T14" s="11" t="s">
        <v>175</v>
      </c>
      <c r="U14" s="21" t="str">
        <f>HYPERLINK("obsidian://open?vault=o2&amp;file=%E2%9A%A1%20Coding.md","⚡ Coding")</f>
        <v>⚡ Coding</v>
      </c>
      <c r="V14" s="11" t="s">
        <v>175</v>
      </c>
      <c r="W14" s="21" t="str">
        <f>HYPERLINK("obsidian://open?vault=o2&amp;file=%E2%9A%A1%20Create%20a%20Recipe%20Cookbook.md","⚡ Create a Recipe Cookbook")</f>
        <v>⚡ Create a Recipe Cookbook</v>
      </c>
      <c r="X14" s="11" t="s">
        <v>175</v>
      </c>
      <c r="Y14" s="21" t="str">
        <f>HYPERLINK("obsidian://open?vault=o2&amp;file=%E2%9A%A1%20Debug%20metaCatchall%20Project.md","⚡ Debug metaCatchall Project")</f>
        <v>⚡ Debug metaCatchall Project</v>
      </c>
      <c r="Z14" s="11" t="s">
        <v>175</v>
      </c>
      <c r="AA14" s="21" t="str">
        <f>HYPERLINK("obsidian://open?vault=o2&amp;file=%E2%9A%A1%20Home%20Project.md","⚡ Home Project")</f>
        <v>⚡ Home Project</v>
      </c>
      <c r="AB14" s="11" t="s">
        <v>175</v>
      </c>
      <c r="AC14" s="21" t="str">
        <f>HYPERLINK("obsidian://open?vault=o2&amp;file=%E2%9A%A1%20Image%20Categorization%20Project.md","⚡ Image Categorization Project")</f>
        <v>⚡ Image Categorization Project</v>
      </c>
      <c r="AD14" s="11" t="s">
        <v>175</v>
      </c>
      <c r="AE14" s="21" t="str">
        <f>HYPERLINK("obsidian://open?vault=o2&amp;file=%E2%9A%A1%20Learn%20Python%20and%20OOP%20Project.md","⚡ Learn Python and OOP Project")</f>
        <v>⚡ Learn Python and OOP Project</v>
      </c>
      <c r="AF14" s="11">
        <f>SUBTOTAL(3,_xlfn.SINGLE(tbl_tags[RowId]))</f>
        <v>1</v>
      </c>
    </row>
    <row r="15" spans="3:32">
      <c r="E15" t="str">
        <f>IF(G15&lt;&gt;tbl_tags[[#This Row],[Tags]],"X","")</f>
        <v/>
      </c>
      <c r="G15" s="258" t="s">
        <v>2559</v>
      </c>
      <c r="J15" s="4">
        <v>339</v>
      </c>
      <c r="K15" s="20" t="s">
        <v>2559</v>
      </c>
      <c r="L15" s="4">
        <v>20</v>
      </c>
      <c r="M15" s="21" t="str">
        <f>HYPERLINK("obsidian://open?vault=o2&amp;file=Glossary.md","Glossary")</f>
        <v>Glossary</v>
      </c>
      <c r="N15" s="11" t="s">
        <v>175</v>
      </c>
      <c r="O15" s="21" t="str">
        <f>HYPERLINK("obsidian://open?vault=o2&amp;file=My%20Hotkeys.md","My Hotkeys")</f>
        <v>My Hotkeys</v>
      </c>
      <c r="P15" s="11" t="s">
        <v>175</v>
      </c>
      <c r="Q15" s="21" t="str">
        <f>HYPERLINK("obsidian://open?vault=o2&amp;file=Obsidian%20Callouts.md","Obsidian Callouts")</f>
        <v>Obsidian Callouts</v>
      </c>
      <c r="R15" s="11" t="s">
        <v>175</v>
      </c>
      <c r="S15" s="21" t="str">
        <f>HYPERLINK("obsidian://open?vault=o2&amp;file=QuickAdd%20Plugin.md","QuickAdd Plugin")</f>
        <v>QuickAdd Plugin</v>
      </c>
      <c r="T15" s="11" t="s">
        <v>175</v>
      </c>
      <c r="U15" s="21" t="str">
        <f>HYPERLINK("obsidian://open?vault=o2&amp;file=%E2%9A%92%EF%B8%8F%20FUE%20-%20Frequently%20Used%20Emoji%27s.md","⚒️ FUE - Frequently Used Emoji's")</f>
        <v>⚒️ FUE - Frequently Used Emoji's</v>
      </c>
      <c r="V15" s="11" t="s">
        <v>175</v>
      </c>
      <c r="W15" s="21" t="str">
        <f>HYPERLINK("obsidian://open?vault=o2&amp;file=%E2%9A%92%EF%B8%8F%20FUN%20-%20Frequently%20Used%20Notes.md","⚒️ FUN - Frequently Used Notes")</f>
        <v>⚒️ FUN - Frequently Used Notes</v>
      </c>
      <c r="X15" s="11" t="s">
        <v>175</v>
      </c>
      <c r="Y15" s="21" t="str">
        <f>HYPERLINK("obsidian://open?vault=o2&amp;file=%E2%9A%92%EF%B8%8F%20My%20Toolbox.md","⚒️ My Toolbox")</f>
        <v>⚒️ My Toolbox</v>
      </c>
      <c r="Z15" s="11" t="s">
        <v>175</v>
      </c>
      <c r="AA15" s="21" t="str">
        <f>HYPERLINK("obsidian://open?vault=o2&amp;file=%E2%9A%92%EF%B8%8F%20Orphans.md","⚒️ Orphans")</f>
        <v>⚒️ Orphans</v>
      </c>
      <c r="AB15" s="11" t="s">
        <v>175</v>
      </c>
      <c r="AC15" s="21" t="str">
        <f>HYPERLINK("obsidian://open?vault=o2&amp;file=%F0%9F%8F%A0%20My%20Home.md","🏠 My Home")</f>
        <v>🏠 My Home</v>
      </c>
      <c r="AD15" s="11" t="s">
        <v>175</v>
      </c>
      <c r="AE15" s="21" t="str">
        <f>HYPERLINK("obsidian://open?vault=o2&amp;file=%F0%9F%97%BA%EF%B8%8F%20My%20Tools%20MOC.md","🗺️ My Tools MOC")</f>
        <v>🗺️ My Tools MOC</v>
      </c>
      <c r="AF15" s="11">
        <f>SUBTOTAL(3,_xlfn.SINGLE(tbl_tags[RowId]))</f>
        <v>1</v>
      </c>
    </row>
    <row r="16" spans="3:32">
      <c r="E16" t="str">
        <f>IF(G16&lt;&gt;tbl_tags[[#This Row],[Tags]],"X","")</f>
        <v/>
      </c>
      <c r="G16" s="259" t="s">
        <v>2560</v>
      </c>
      <c r="J16" s="4">
        <v>340</v>
      </c>
      <c r="K16" s="20" t="s">
        <v>2560</v>
      </c>
      <c r="L16" s="4">
        <v>8</v>
      </c>
      <c r="M16" s="21" t="str">
        <f>HYPERLINK("obsidian://open?vault=o2&amp;file=%E2%9A%93%20My%20Areas.md","⚓ My Areas")</f>
        <v>⚓ My Areas</v>
      </c>
      <c r="N16" s="11" t="s">
        <v>175</v>
      </c>
      <c r="O16" s="21" t="str">
        <f>HYPERLINK("obsidian://open?vault=o2&amp;file=%E2%9A%93%20AA%20Recovery.md","⚓ AA Recovery")</f>
        <v>⚓ AA Recovery</v>
      </c>
      <c r="P16" s="11" t="s">
        <v>175</v>
      </c>
      <c r="Q16" s="21" t="str">
        <f>HYPERLINK("obsidian://open?vault=o2&amp;file=%E2%9A%93%20CWS.md","⚓ CWS")</f>
        <v>⚓ CWS</v>
      </c>
      <c r="R16" s="11" t="s">
        <v>175</v>
      </c>
      <c r="S16" s="21" t="str">
        <f>HYPERLINK("obsidian://open?vault=o2&amp;file=%E2%9A%93%20Family.md","⚓ Family")</f>
        <v>⚓ Family</v>
      </c>
      <c r="T16" s="11" t="s">
        <v>175</v>
      </c>
      <c r="U16" s="21" t="str">
        <f>HYPERLINK("obsidian://open?vault=o2&amp;file=%E2%9A%93%20Finances.md","⚓ Finances")</f>
        <v>⚓ Finances</v>
      </c>
      <c r="V16" s="11" t="s">
        <v>175</v>
      </c>
      <c r="W16" s="21" t="str">
        <f>HYPERLINK("obsidian://open?vault=o2&amp;file=%E2%9A%93%20Health.md","⚓ Health")</f>
        <v>⚓ Health</v>
      </c>
      <c r="X16" s="11" t="s">
        <v>175</v>
      </c>
      <c r="Y16" s="21" t="str">
        <f>HYPERLINK("obsidian://open?vault=o2&amp;file=%F0%9F%A6%8B%20My%20Resources.md","🦋 My Resources")</f>
        <v>🦋 My Resources</v>
      </c>
      <c r="Z16" s="11" t="s">
        <v>175</v>
      </c>
      <c r="AA16" s="21" t="str">
        <f>HYPERLINK("obsidian://open?vault=o2&amp;file=Area%20Template.md","Area Template")</f>
        <v>Area Template</v>
      </c>
      <c r="AB16" s="11" t="s">
        <v>175</v>
      </c>
      <c r="AF16" s="11">
        <f>SUBTOTAL(3,_xlfn.SINGLE(tbl_tags[RowId]))</f>
        <v>1</v>
      </c>
    </row>
    <row r="17" spans="3:32">
      <c r="E17" t="str">
        <f>IF(G17&lt;&gt;tbl_tags[[#This Row],[Tags]],"X","")</f>
        <v/>
      </c>
      <c r="G17" s="258" t="s">
        <v>2561</v>
      </c>
      <c r="J17" s="4">
        <v>341</v>
      </c>
      <c r="K17" s="20" t="s">
        <v>2561</v>
      </c>
      <c r="L17" s="4">
        <v>1</v>
      </c>
      <c r="M17" s="21" t="str">
        <f>HYPERLINK("obsidian://open?vault=o2&amp;file=Area%20Template.md","Area Template")</f>
        <v>Area Template</v>
      </c>
      <c r="N17" s="11" t="s">
        <v>175</v>
      </c>
      <c r="AF17" s="11">
        <f>SUBTOTAL(3,_xlfn.SINGLE(tbl_tags[RowId]))</f>
        <v>1</v>
      </c>
    </row>
    <row r="18" spans="3:32">
      <c r="E18" t="str">
        <f>IF(G18&lt;&gt;tbl_tags[[#This Row],[Tags]],"X","")</f>
        <v/>
      </c>
      <c r="G18" s="259" t="s">
        <v>2562</v>
      </c>
      <c r="J18" s="4">
        <v>342</v>
      </c>
      <c r="K18" s="20" t="s">
        <v>2562</v>
      </c>
      <c r="L18" s="4">
        <v>2</v>
      </c>
      <c r="M18" s="21" t="str">
        <f>HYPERLINK("obsidian://open?vault=o2&amp;file=Bike%20Donations%20Flyer.md","Bike Donations Flyer")</f>
        <v>Bike Donations Flyer</v>
      </c>
      <c r="N18" s="11" t="s">
        <v>175</v>
      </c>
      <c r="O18" s="21" t="str">
        <f>HYPERLINK("obsidian://open?vault=o2&amp;file=%E2%9A%93%20AA%20Recovery.md","⚓ AA Recovery")</f>
        <v>⚓ AA Recovery</v>
      </c>
      <c r="P18" s="11" t="s">
        <v>175</v>
      </c>
      <c r="AF18" s="11">
        <f>SUBTOTAL(3,_xlfn.SINGLE(tbl_tags[RowId]))</f>
        <v>1</v>
      </c>
    </row>
    <row r="19" spans="3:32">
      <c r="E19" t="str">
        <f>IF(G19&lt;&gt;tbl_tags[[#This Row],[Tags]],"X","")</f>
        <v/>
      </c>
      <c r="G19" s="258" t="s">
        <v>2563</v>
      </c>
      <c r="J19" s="4">
        <v>343</v>
      </c>
      <c r="K19" s="20" t="s">
        <v>2563</v>
      </c>
      <c r="L19" s="4">
        <v>7</v>
      </c>
      <c r="M19" s="21" t="str">
        <f>HYPERLINK("obsidian://open?vault=o2&amp;file=Common%20cPanel%20Ports.md","Common cPanel Ports")</f>
        <v>Common cPanel Ports</v>
      </c>
      <c r="N19" s="11" t="s">
        <v>175</v>
      </c>
      <c r="O19" s="21" t="str">
        <f>HYPERLINK("obsidian://open?vault=o2&amp;file=PC%20Re-Build%20Step%20Sequence%20Script.md","PC Re-Build Step Sequence Script")</f>
        <v>PC Re-Build Step Sequence Script</v>
      </c>
      <c r="P19" s="11" t="s">
        <v>175</v>
      </c>
      <c r="Q19" s="21" t="str">
        <f>HYPERLINK("obsidian://open?vault=o2&amp;file=Set%20Up%20and%20Secure%20a%20Compute%20Instance.md","Set Up and Secure a Compute Instance")</f>
        <v>Set Up and Secure a Compute Instance</v>
      </c>
      <c r="R19" s="11" t="s">
        <v>175</v>
      </c>
      <c r="S19" s="21" t="str">
        <f>HYPERLINK("obsidian://open?vault=o2&amp;file=%E2%9A%93%20CWS.md","⚓ CWS")</f>
        <v>⚓ CWS</v>
      </c>
      <c r="T19" s="11" t="s">
        <v>175</v>
      </c>
      <c r="U19" s="21" t="str">
        <f>HYPERLINK("obsidian://open?vault=o2&amp;file=I%20Made%20an%20App%20that%20KEEPS%20Windows%2011%20Debloated%20%26%20Optimized.md","I Made an App that KEEPS Windows 11 Debloated &amp; Optimized")</f>
        <v>I Made an App that KEEPS Windows 11 Debloated &amp; Optimized</v>
      </c>
      <c r="V19" s="11" t="s">
        <v>175</v>
      </c>
      <c r="W19" s="21" t="str">
        <f>HYPERLINK("obsidian://open?vault=o2&amp;file=BIOS%20Setup%20Notes.md","BIOS Setup Notes")</f>
        <v>BIOS Setup Notes</v>
      </c>
      <c r="X19" s="11" t="s">
        <v>175</v>
      </c>
      <c r="Y19" s="21" t="str">
        <f>HYPERLINK("obsidian://open?vault=o2&amp;file=2023-08-13.md","2023-08-13")</f>
        <v>2023-08-13</v>
      </c>
      <c r="Z19" s="11" t="s">
        <v>175</v>
      </c>
      <c r="AF19" s="11">
        <f>SUBTOTAL(3,_xlfn.SINGLE(tbl_tags[RowId]))</f>
        <v>1</v>
      </c>
    </row>
    <row r="20" spans="3:32">
      <c r="E20" t="str">
        <f>IF(G20&lt;&gt;tbl_tags[[#This Row],[Tags]],"X","")</f>
        <v/>
      </c>
      <c r="G20" s="259" t="s">
        <v>2564</v>
      </c>
      <c r="J20" s="4">
        <v>344</v>
      </c>
      <c r="K20" s="20" t="s">
        <v>2564</v>
      </c>
      <c r="L20" s="4">
        <v>1</v>
      </c>
      <c r="M20" s="21" t="str">
        <f>HYPERLINK("obsidian://open?vault=o2&amp;file=%E2%9A%93%20Family.md","⚓ Family")</f>
        <v>⚓ Family</v>
      </c>
      <c r="N20" s="11" t="s">
        <v>175</v>
      </c>
      <c r="AF20" s="11">
        <f>SUBTOTAL(3,_xlfn.SINGLE(tbl_tags[RowId]))</f>
        <v>1</v>
      </c>
    </row>
    <row r="21" spans="3:32">
      <c r="C21" s="29" t="s">
        <v>22</v>
      </c>
      <c r="E21" t="str">
        <f>IF(G21&lt;&gt;tbl_tags[[#This Row],[Tags]],"X","")</f>
        <v/>
      </c>
      <c r="G21" s="258" t="s">
        <v>2565</v>
      </c>
      <c r="J21" s="4">
        <v>345</v>
      </c>
      <c r="K21" s="20" t="s">
        <v>2565</v>
      </c>
      <c r="L21" s="4">
        <v>2</v>
      </c>
      <c r="M21" s="21" t="str">
        <f>HYPERLINK("obsidian://open?vault=o2&amp;file=How%20to%20Sell%20A%20House.md","How to Sell A House")</f>
        <v>How to Sell A House</v>
      </c>
      <c r="N21" s="11" t="s">
        <v>175</v>
      </c>
      <c r="O21" s="21" t="str">
        <f>HYPERLINK("obsidian://open?vault=o2&amp;file=%E2%9A%93%20Finances.md","⚓ Finances")</f>
        <v>⚓ Finances</v>
      </c>
      <c r="P21" s="11" t="s">
        <v>175</v>
      </c>
      <c r="AF21" s="11">
        <f>SUBTOTAL(3,_xlfn.SINGLE(tbl_tags[RowId]))</f>
        <v>1</v>
      </c>
    </row>
    <row r="22" spans="3:32">
      <c r="E22" t="str">
        <f>IF(G22&lt;&gt;tbl_tags[[#This Row],[Tags]],"X","")</f>
        <v/>
      </c>
      <c r="G22" s="259" t="s">
        <v>2566</v>
      </c>
      <c r="J22" s="4">
        <v>346</v>
      </c>
      <c r="K22" s="20" t="s">
        <v>2566</v>
      </c>
      <c r="L22" s="4">
        <v>4</v>
      </c>
      <c r="M22" s="21" t="str">
        <f>HYPERLINK("obsidian://open?vault=o2&amp;file=Creating%20and%20tracking%20your%20own%20habits%20and%20statistics.md","Creating and tracking your own habits and statistics")</f>
        <v>Creating and tracking your own habits and statistics</v>
      </c>
      <c r="N22" s="11" t="s">
        <v>175</v>
      </c>
      <c r="O22" s="21" t="str">
        <f>HYPERLINK("obsidian://open?vault=o2&amp;file=Medications%20Log.md","Medications Log")</f>
        <v>Medications Log</v>
      </c>
      <c r="P22" s="11" t="s">
        <v>175</v>
      </c>
      <c r="Q22" s="21" t="str">
        <f>HYPERLINK("obsidian://open?vault=o2&amp;file=My%20Medical%20Info.md","My Medical Info")</f>
        <v>My Medical Info</v>
      </c>
      <c r="R22" s="11" t="s">
        <v>175</v>
      </c>
      <c r="S22" s="21" t="str">
        <f>HYPERLINK("obsidian://open?vault=o2&amp;file=%E2%9A%93%20Health.md","⚓ Health")</f>
        <v>⚓ Health</v>
      </c>
      <c r="T22" s="11" t="s">
        <v>175</v>
      </c>
      <c r="AF22" s="11">
        <f>SUBTOTAL(3,_xlfn.SINGLE(tbl_tags[RowId]))</f>
        <v>1</v>
      </c>
    </row>
    <row r="23" spans="3:32">
      <c r="E23" t="str">
        <f>IF(G23&lt;&gt;tbl_tags[[#This Row],[Tags]],"X","")</f>
        <v/>
      </c>
      <c r="G23" s="258" t="s">
        <v>2262</v>
      </c>
      <c r="J23" s="4">
        <v>1</v>
      </c>
      <c r="K23" s="20" t="s">
        <v>2262</v>
      </c>
      <c r="L23" s="4">
        <v>32</v>
      </c>
      <c r="M23" s="21" t="str">
        <f>HYPERLINK("obsidian://open?vault=o2&amp;file=10th%20Step%20Homework.md","10th Step Homework")</f>
        <v>10th Step Homework</v>
      </c>
      <c r="N23" s="11" t="s">
        <v>175</v>
      </c>
      <c r="O23" s="21" t="str">
        <f>HYPERLINK("obsidian://open?vault=o2&amp;file=Colonoscopy%20Notes.md","Colonoscopy Notes")</f>
        <v>Colonoscopy Notes</v>
      </c>
      <c r="P23" s="11" t="s">
        <v>175</v>
      </c>
      <c r="Q23" s="21" t="str">
        <f>HYPERLINK("obsidian://open?vault=o2&amp;file=Jokologue.md","Jokologue")</f>
        <v>Jokologue</v>
      </c>
      <c r="R23" s="11" t="s">
        <v>175</v>
      </c>
      <c r="S23" s="21" t="str">
        <f>HYPERLINK("obsidian://open?vault=o2&amp;file=Make%20file%20metadata%20and%20properties%20separate%20concepts.md","Make file metadata and properties separate concepts")</f>
        <v>Make file metadata and properties separate concepts</v>
      </c>
      <c r="T23" s="11" t="s">
        <v>175</v>
      </c>
      <c r="U23" s="21" t="str">
        <f>HYPERLINK("obsidian://open?vault=o2&amp;file=My%20Adobe%20CS5.5%20Notes.md","My Adobe CS5.5 Notes")</f>
        <v>My Adobe CS5.5 Notes</v>
      </c>
      <c r="V23" s="11" t="s">
        <v>175</v>
      </c>
      <c r="W23" s="21" t="str">
        <f>HYPERLINK("obsidian://open?vault=o2&amp;file=My%20MediaMonkey%20Notes.md","My MediaMonkey Notes")</f>
        <v>My MediaMonkey Notes</v>
      </c>
      <c r="X23" s="11" t="s">
        <v>175</v>
      </c>
      <c r="Y23" s="21" t="str">
        <f>HYPERLINK("obsidian://open?vault=o2&amp;file=Prism%20Mark%20Syntax%20for%20Colors.md","Prism Mark Syntax for Colors")</f>
        <v>Prism Mark Syntax for Colors</v>
      </c>
      <c r="Z23" s="11" t="s">
        <v>175</v>
      </c>
      <c r="AA23" s="21" t="str">
        <f>HYPERLINK("obsidian://open?vault=o2&amp;file=Sobriety%20Date.md","Sobriety Date")</f>
        <v>Sobriety Date</v>
      </c>
      <c r="AB23" s="11" t="s">
        <v>175</v>
      </c>
      <c r="AC23" s="21" t="str">
        <f>HYPERLINK("obsidian://open?vault=o2&amp;file=testTasklist.md","testTasklist")</f>
        <v>testTasklist</v>
      </c>
      <c r="AD23" s="11" t="s">
        <v>175</v>
      </c>
      <c r="AE23" s="21" t="str">
        <f>HYPERLINK("obsidian://open?vault=o2&amp;file=Untitled.md","Untitled")</f>
        <v>Untitled</v>
      </c>
      <c r="AF23" s="11">
        <f>SUBTOTAL(3,_xlfn.SINGLE(tbl_tags[RowId]))</f>
        <v>1</v>
      </c>
    </row>
    <row r="24" spans="3:32">
      <c r="E24" t="str">
        <f>IF(G24&lt;&gt;tbl_tags[[#This Row],[Tags]],"X","")</f>
        <v/>
      </c>
      <c r="G24" s="259" t="s">
        <v>2263</v>
      </c>
      <c r="J24" s="4">
        <v>2</v>
      </c>
      <c r="K24" s="20" t="s">
        <v>2263</v>
      </c>
      <c r="L24" s="4">
        <v>1</v>
      </c>
      <c r="M24" s="21" t="str">
        <f>HYPERLINK("obsidian://open?vault=o2&amp;file=Bike%20Donations%20Flyer.md","Bike Donations Flyer")</f>
        <v>Bike Donations Flyer</v>
      </c>
      <c r="N24" s="11" t="s">
        <v>175</v>
      </c>
      <c r="AF24" s="11">
        <f>SUBTOTAL(3,_xlfn.SINGLE(tbl_tags[RowId]))</f>
        <v>1</v>
      </c>
    </row>
    <row r="25" spans="3:32">
      <c r="E25" t="str">
        <f>IF(G25&lt;&gt;tbl_tags[[#This Row],[Tags]],"X","")</f>
        <v/>
      </c>
      <c r="G25" s="258" t="s">
        <v>2264</v>
      </c>
      <c r="J25" s="4">
        <v>3</v>
      </c>
      <c r="K25" s="20" t="s">
        <v>2264</v>
      </c>
      <c r="L25" s="4">
        <v>1</v>
      </c>
      <c r="M25" s="21" t="str">
        <f>HYPERLINK("obsidian://open?vault=o2&amp;file=cPanel%20Alternatives.md","cPanel Alternatives")</f>
        <v>cPanel Alternatives</v>
      </c>
      <c r="N25" s="11" t="s">
        <v>175</v>
      </c>
      <c r="AF25" s="11">
        <f>SUBTOTAL(3,_xlfn.SINGLE(tbl_tags[RowId]))</f>
        <v>1</v>
      </c>
    </row>
    <row r="26" spans="3:32">
      <c r="E26" t="str">
        <f>IF(G26&lt;&gt;tbl_tags[[#This Row],[Tags]],"X","")</f>
        <v/>
      </c>
      <c r="G26" s="259" t="s">
        <v>2265</v>
      </c>
      <c r="J26" s="4">
        <v>4</v>
      </c>
      <c r="K26" s="20" t="s">
        <v>2265</v>
      </c>
      <c r="L26" s="4">
        <v>1</v>
      </c>
      <c r="M26" s="21" t="str">
        <f>HYPERLINK("obsidian://open?vault=o2&amp;file=2025-02-07.md","2025-02-07")</f>
        <v>2025-02-07</v>
      </c>
      <c r="N26" s="11" t="s">
        <v>175</v>
      </c>
      <c r="AF26" s="11">
        <f>SUBTOTAL(3,_xlfn.SINGLE(tbl_tags[RowId]))</f>
        <v>1</v>
      </c>
    </row>
    <row r="27" spans="3:32">
      <c r="E27" t="str">
        <f>IF(G27&lt;&gt;tbl_tags[[#This Row],[Tags]],"X","")</f>
        <v/>
      </c>
      <c r="G27" s="258" t="s">
        <v>2266</v>
      </c>
      <c r="J27" s="4">
        <v>5</v>
      </c>
      <c r="K27" s="20" t="s">
        <v>2266</v>
      </c>
      <c r="L27" s="4">
        <v>1</v>
      </c>
      <c r="M27"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27" s="11" t="s">
        <v>175</v>
      </c>
      <c r="AF27" s="11">
        <f>SUBTOTAL(3,_xlfn.SINGLE(tbl_tags[RowId]))</f>
        <v>1</v>
      </c>
    </row>
    <row r="28" spans="3:32">
      <c r="E28" t="str">
        <f>IF(G28&lt;&gt;tbl_tags[[#This Row],[Tags]],"X","")</f>
        <v/>
      </c>
      <c r="G28" s="259" t="s">
        <v>2267</v>
      </c>
      <c r="J28" s="4">
        <v>6</v>
      </c>
      <c r="K28" s="20" t="s">
        <v>2267</v>
      </c>
      <c r="L28" s="4">
        <v>1</v>
      </c>
      <c r="M28" s="21" t="str">
        <f>HYPERLINK("obsidian://open?vault=o2&amp;file=Flat%20Icon%20and%20Shadow%20Using%20The%20Blend%20Tool%20In%20Adobe%20Illustrator.md","Flat Icon and Shadow Using The Blend Tool In Adobe Illustrator")</f>
        <v>Flat Icon and Shadow Using The Blend Tool In Adobe Illustrator</v>
      </c>
      <c r="N28" s="11" t="s">
        <v>175</v>
      </c>
      <c r="AF28" s="11">
        <f>SUBTOTAL(3,_xlfn.SINGLE(tbl_tags[RowId]))</f>
        <v>1</v>
      </c>
    </row>
    <row r="29" spans="3:32">
      <c r="E29" t="str">
        <f>IF(G29&lt;&gt;tbl_tags[[#This Row],[Tags]],"X","")</f>
        <v/>
      </c>
      <c r="G29" s="258" t="s">
        <v>2268</v>
      </c>
      <c r="J29" s="4">
        <v>7</v>
      </c>
      <c r="K29" s="20" t="s">
        <v>2268</v>
      </c>
      <c r="L29" s="4">
        <v>1</v>
      </c>
      <c r="M29" s="21" t="str">
        <f>HYPERLINK("obsidian://open?vault=o2&amp;file=Free%20Lightroom%20Tutorial%20%20Adobe%20Lightroom%20Essentials%20Training%20Course.md","Free Lightroom Tutorial  Adobe Lightroom Essentials Training Course")</f>
        <v>Free Lightroom Tutorial  Adobe Lightroom Essentials Training Course</v>
      </c>
      <c r="N29" s="11" t="s">
        <v>175</v>
      </c>
      <c r="AF29" s="11">
        <f>SUBTOTAL(3,_xlfn.SINGLE(tbl_tags[RowId]))</f>
        <v>1</v>
      </c>
    </row>
    <row r="30" spans="3:32">
      <c r="E30" t="str">
        <f>IF(G30&lt;&gt;tbl_tags[[#This Row],[Tags]],"X","")</f>
        <v/>
      </c>
      <c r="G30" s="259" t="s">
        <v>2269</v>
      </c>
      <c r="J30" s="4">
        <v>8</v>
      </c>
      <c r="K30" s="20" t="s">
        <v>2269</v>
      </c>
      <c r="L30" s="4">
        <v>1</v>
      </c>
      <c r="M30" s="21" t="str">
        <f>HYPERLINK("obsidian://open?vault=o2&amp;file=Setup%20Servarr.md","Setup Servarr")</f>
        <v>Setup Servarr</v>
      </c>
      <c r="N30" s="11" t="s">
        <v>175</v>
      </c>
      <c r="AF30" s="11">
        <f>SUBTOTAL(3,_xlfn.SINGLE(tbl_tags[RowId]))</f>
        <v>1</v>
      </c>
    </row>
    <row r="31" spans="3:32">
      <c r="E31" t="str">
        <f>IF(G31&lt;&gt;tbl_tags[[#This Row],[Tags]],"X","")</f>
        <v/>
      </c>
      <c r="G31" s="258" t="s">
        <v>2270</v>
      </c>
      <c r="J31" s="4">
        <v>9</v>
      </c>
      <c r="K31" s="20" t="s">
        <v>2270</v>
      </c>
      <c r="L31" s="4">
        <v>1</v>
      </c>
      <c r="M31" s="21" t="str">
        <f>HYPERLINK("obsidian://open?vault=o2&amp;file=Python%20Style%20Guide.md","Python Style Guide")</f>
        <v>Python Style Guide</v>
      </c>
      <c r="N31" s="11" t="s">
        <v>175</v>
      </c>
      <c r="AF31" s="11">
        <f>SUBTOTAL(3,_xlfn.SINGLE(tbl_tags[RowId]))</f>
        <v>1</v>
      </c>
    </row>
    <row r="32" spans="3:32">
      <c r="E32" t="str">
        <f>IF(G32&lt;&gt;tbl_tags[[#This Row],[Tags]],"X","")</f>
        <v/>
      </c>
      <c r="G32" s="259" t="s">
        <v>12</v>
      </c>
      <c r="J32" s="4">
        <v>10</v>
      </c>
      <c r="K32" s="20" t="s">
        <v>12</v>
      </c>
      <c r="L32" s="4">
        <v>6</v>
      </c>
      <c r="M32" s="21" t="str">
        <f>HYPERLINK("obsidian://open?vault=o2&amp;file=%E2%9A%93%20AA%20Recovery.md","⚓ AA Recovery")</f>
        <v>⚓ AA Recovery</v>
      </c>
      <c r="N32" s="11" t="s">
        <v>175</v>
      </c>
      <c r="O32" s="21" t="str">
        <f>HYPERLINK("obsidian://open?vault=o2&amp;file=%E2%9A%93%20CWS.md","⚓ CWS")</f>
        <v>⚓ CWS</v>
      </c>
      <c r="P32" s="11" t="s">
        <v>175</v>
      </c>
      <c r="Q32" s="21" t="str">
        <f>HYPERLINK("obsidian://open?vault=o2&amp;file=%E2%9A%93%20Family.md","⚓ Family")</f>
        <v>⚓ Family</v>
      </c>
      <c r="R32" s="11" t="s">
        <v>175</v>
      </c>
      <c r="S32" s="21" t="str">
        <f>HYPERLINK("obsidian://open?vault=o2&amp;file=%E2%9A%93%20Finances.md","⚓ Finances")</f>
        <v>⚓ Finances</v>
      </c>
      <c r="T32" s="11" t="s">
        <v>175</v>
      </c>
      <c r="U32" s="21" t="str">
        <f>HYPERLINK("obsidian://open?vault=o2&amp;file=%E2%9A%93%20Health.md","⚓ Health")</f>
        <v>⚓ Health</v>
      </c>
      <c r="V32" s="11" t="s">
        <v>175</v>
      </c>
      <c r="W32" s="21" t="str">
        <f>HYPERLINK("obsidian://open?vault=o2&amp;file=Area%20Template.md","Area Template")</f>
        <v>Area Template</v>
      </c>
      <c r="X32" s="11" t="s">
        <v>175</v>
      </c>
      <c r="AF32" s="11">
        <f>SUBTOTAL(3,_xlfn.SINGLE(tbl_tags[RowId]))</f>
        <v>1</v>
      </c>
    </row>
    <row r="33" spans="5:32">
      <c r="E33" t="str">
        <f>IF(G33&lt;&gt;tbl_tags[[#This Row],[Tags]],"X","")</f>
        <v/>
      </c>
      <c r="G33" s="258" t="s">
        <v>2271</v>
      </c>
      <c r="J33" s="4">
        <v>11</v>
      </c>
      <c r="K33" s="20" t="s">
        <v>2271</v>
      </c>
      <c r="L33" s="4">
        <v>1</v>
      </c>
      <c r="M33" s="21" t="str">
        <f>HYPERLINK("obsidian://open?vault=o2&amp;file=projects.md","projects")</f>
        <v>projects</v>
      </c>
      <c r="N33" s="11" t="s">
        <v>175</v>
      </c>
      <c r="AF33" s="11">
        <f>SUBTOTAL(3,_xlfn.SINGLE(tbl_tags[RowId]))</f>
        <v>1</v>
      </c>
    </row>
    <row r="34" spans="5:32">
      <c r="E34" t="str">
        <f>IF(G34&lt;&gt;tbl_tags[[#This Row],[Tags]],"X","")</f>
        <v/>
      </c>
      <c r="G34" s="259" t="s">
        <v>2272</v>
      </c>
      <c r="J34" s="4">
        <v>12</v>
      </c>
      <c r="K34" s="20" t="s">
        <v>2272</v>
      </c>
      <c r="L34" s="4">
        <v>2</v>
      </c>
      <c r="M34" s="21" t="str">
        <f>HYPERLINK("obsidian://open?vault=o2&amp;file=Watercolor%20Artist.md","Watercolor Artist")</f>
        <v>Watercolor Artist</v>
      </c>
      <c r="N34" s="11" t="s">
        <v>175</v>
      </c>
      <c r="O34" s="21" t="str">
        <f>HYPERLINK("obsidian://open?vault=o2&amp;file=How%20to%20Create%20So%20Much%20They%20Can%E2%80%99t%20Ignore%20You.md","How to Create So Much They Can’t Ignore You")</f>
        <v>How to Create So Much They Can’t Ignore You</v>
      </c>
      <c r="P34" s="11" t="s">
        <v>175</v>
      </c>
      <c r="AF34" s="11">
        <f>SUBTOTAL(3,_xlfn.SINGLE(tbl_tags[RowId]))</f>
        <v>1</v>
      </c>
    </row>
    <row r="35" spans="5:32">
      <c r="E35" t="str">
        <f>IF(G35&lt;&gt;tbl_tags[[#This Row],[Tags]],"X","")</f>
        <v/>
      </c>
      <c r="G35" s="258" t="s">
        <v>2273</v>
      </c>
      <c r="J35" s="4">
        <v>13</v>
      </c>
      <c r="K35" s="20" t="s">
        <v>2273</v>
      </c>
      <c r="L35" s="4">
        <v>1</v>
      </c>
      <c r="M35" s="21" t="str">
        <f>HYPERLINK("obsidian://open?vault=o2&amp;file=%E2%9A%92%EF%B8%8F%20FUT%20-%20Frequently%20Used%20Tags.md","⚒️ FUT - Frequently Used Tags")</f>
        <v>⚒️ FUT - Frequently Used Tags</v>
      </c>
      <c r="N35" s="11" t="s">
        <v>175</v>
      </c>
      <c r="AF35" s="11">
        <f>SUBTOTAL(3,_xlfn.SINGLE(tbl_tags[RowId]))</f>
        <v>1</v>
      </c>
    </row>
    <row r="36" spans="5:32">
      <c r="E36" t="str">
        <f>IF(G36&lt;&gt;tbl_tags[[#This Row],[Tags]],"X","")</f>
        <v/>
      </c>
      <c r="G36" s="259" t="s">
        <v>2274</v>
      </c>
      <c r="J36" s="4">
        <v>14</v>
      </c>
      <c r="K36" s="20" t="s">
        <v>2274</v>
      </c>
      <c r="L36" s="4">
        <v>1</v>
      </c>
      <c r="M36" s="21" t="str">
        <f>HYPERLINK("obsidian://open?vault=o2&amp;file=Car%20Info.md","Car Info")</f>
        <v>Car Info</v>
      </c>
      <c r="N36" s="11" t="s">
        <v>175</v>
      </c>
      <c r="AF36" s="11">
        <f>SUBTOTAL(3,_xlfn.SINGLE(tbl_tags[RowId]))</f>
        <v>1</v>
      </c>
    </row>
    <row r="37" spans="5:32">
      <c r="E37" t="str">
        <f>IF(G37&lt;&gt;tbl_tags[[#This Row],[Tags]],"X","")</f>
        <v/>
      </c>
      <c r="G37" s="258" t="s">
        <v>2275</v>
      </c>
      <c r="J37" s="4">
        <v>15</v>
      </c>
      <c r="K37" s="20" t="s">
        <v>2275</v>
      </c>
      <c r="L37" s="4">
        <v>1</v>
      </c>
      <c r="M37" s="21" t="str">
        <f>HYPERLINK("obsidian://open?vault=o2&amp;file=I%20Made%20an%20App%20that%20KEEPS%20Windows%2011%20Debloated%20%26%20Optimized.md","I Made an App that KEEPS Windows 11 Debloated &amp; Optimized")</f>
        <v>I Made an App that KEEPS Windows 11 Debloated &amp; Optimized</v>
      </c>
      <c r="N37" s="11" t="s">
        <v>175</v>
      </c>
      <c r="AF37" s="11">
        <f>SUBTOTAL(3,_xlfn.SINGLE(tbl_tags[RowId]))</f>
        <v>1</v>
      </c>
    </row>
    <row r="38" spans="5:32">
      <c r="E38" t="str">
        <f>IF(G38&lt;&gt;tbl_tags[[#This Row],[Tags]],"X","")</f>
        <v/>
      </c>
      <c r="G38" s="259" t="s">
        <v>2276</v>
      </c>
      <c r="J38" s="4">
        <v>16</v>
      </c>
      <c r="K38" s="20" t="s">
        <v>2276</v>
      </c>
      <c r="L38" s="4">
        <v>1</v>
      </c>
      <c r="M38" s="21" t="str">
        <f>HYPERLINK("obsidian://open?vault=o2&amp;file=Install%20Hypersnap%209.md","Install Hypersnap 9")</f>
        <v>Install Hypersnap 9</v>
      </c>
      <c r="N38" s="11" t="s">
        <v>175</v>
      </c>
      <c r="AF38" s="11">
        <f>SUBTOTAL(3,_xlfn.SINGLE(tbl_tags[RowId]))</f>
        <v>1</v>
      </c>
    </row>
    <row r="39" spans="5:32">
      <c r="E39" t="str">
        <f>IF(G39&lt;&gt;tbl_tags[[#This Row],[Tags]],"X","")</f>
        <v/>
      </c>
      <c r="G39" s="258" t="s">
        <v>2277</v>
      </c>
      <c r="J39" s="4">
        <v>17</v>
      </c>
      <c r="K39" s="20" t="s">
        <v>2277</v>
      </c>
      <c r="L39" s="4">
        <v>2</v>
      </c>
      <c r="M39" s="21" t="str">
        <f>HYPERLINK("obsidian://open?vault=o2&amp;file=rAutoHotkey%20-%20Unicode%20fractions.md","rAutoHotkey - Unicode fractions")</f>
        <v>rAutoHotkey - Unicode fractions</v>
      </c>
      <c r="N39" s="11" t="s">
        <v>175</v>
      </c>
      <c r="O39" s="21" t="str">
        <f>HYPERLINK("obsidian://open?vault=o2&amp;file=MD%20Web%20Clipper%20User%20Guide.md","MD Web Clipper User Guide")</f>
        <v>MD Web Clipper User Guide</v>
      </c>
      <c r="P39" s="11" t="s">
        <v>175</v>
      </c>
      <c r="AF39" s="11">
        <f>SUBTOTAL(3,_xlfn.SINGLE(tbl_tags[RowId]))</f>
        <v>1</v>
      </c>
    </row>
    <row r="40" spans="5:32">
      <c r="E40" t="str">
        <f>IF(G40&lt;&gt;tbl_tags[[#This Row],[Tags]],"X","")</f>
        <v/>
      </c>
      <c r="G40" s="259" t="s">
        <v>2278</v>
      </c>
      <c r="J40" s="4">
        <v>18</v>
      </c>
      <c r="K40" s="20" t="s">
        <v>2278</v>
      </c>
      <c r="L40" s="4">
        <v>1</v>
      </c>
      <c r="M40" s="21" t="str">
        <f>HYPERLINK("obsidian://open?vault=o2&amp;file=2025-01-27.md","2025-01-27")</f>
        <v>2025-01-27</v>
      </c>
      <c r="N40" s="11" t="s">
        <v>175</v>
      </c>
      <c r="AF40" s="11">
        <f>SUBTOTAL(3,_xlfn.SINGLE(tbl_tags[RowId]))</f>
        <v>1</v>
      </c>
    </row>
    <row r="41" spans="5:32">
      <c r="E41" t="str">
        <f>IF(G41&lt;&gt;tbl_tags[[#This Row],[Tags]],"X","")</f>
        <v/>
      </c>
      <c r="G41" s="258" t="s">
        <v>2279</v>
      </c>
      <c r="J41" s="4">
        <v>19</v>
      </c>
      <c r="K41" s="20" t="s">
        <v>2279</v>
      </c>
      <c r="L41" s="4">
        <v>1</v>
      </c>
      <c r="M41" s="21" t="str">
        <f>HYPERLINK("obsidian://open?vault=o2&amp;file=Search%20and%20Replace%20in%20Vim.md","Search and Replace in Vim")</f>
        <v>Search and Replace in Vim</v>
      </c>
      <c r="N41" s="11" t="s">
        <v>175</v>
      </c>
      <c r="AF41" s="11">
        <f>SUBTOTAL(3,_xlfn.SINGLE(tbl_tags[RowId]))</f>
        <v>1</v>
      </c>
    </row>
    <row r="42" spans="5:32">
      <c r="E42" t="str">
        <f>IF(G42&lt;&gt;tbl_tags[[#This Row],[Tags]],"X","")</f>
        <v/>
      </c>
      <c r="G42" s="259" t="s">
        <v>2280</v>
      </c>
      <c r="J42" s="4">
        <v>20</v>
      </c>
      <c r="K42" s="20" t="s">
        <v>2280</v>
      </c>
      <c r="L42" s="4">
        <v>2</v>
      </c>
      <c r="M42" s="21" t="str">
        <f>HYPERLINK("obsidian://open?vault=o2&amp;file=Setup%20Servarr.md","Setup Servarr")</f>
        <v>Setup Servarr</v>
      </c>
      <c r="N42" s="11" t="s">
        <v>175</v>
      </c>
      <c r="O42" s="21" t="str">
        <f>HYPERLINK("obsidian://open?vault=o2&amp;file=Setup%20Sabnzbd.md","Setup Sabnzbd")</f>
        <v>Setup Sabnzbd</v>
      </c>
      <c r="P42" s="11" t="s">
        <v>175</v>
      </c>
      <c r="AF42" s="11">
        <f>SUBTOTAL(3,_xlfn.SINGLE(tbl_tags[RowId]))</f>
        <v>1</v>
      </c>
    </row>
    <row r="43" spans="5:32">
      <c r="E43" t="str">
        <f>IF(G43&lt;&gt;tbl_tags[[#This Row],[Tags]],"X","")</f>
        <v/>
      </c>
      <c r="G43" s="258" t="s">
        <v>2281</v>
      </c>
      <c r="J43" s="4">
        <v>21</v>
      </c>
      <c r="K43" s="20" t="s">
        <v>2281</v>
      </c>
      <c r="L43" s="4">
        <v>1</v>
      </c>
      <c r="M43" s="21" t="str">
        <f>HYPERLINK("obsidian://open?vault=o2&amp;file=How%20to%20text%20from%20your%20PC%20if%20you%20have%20an%20iPhone.md","How to text from your PC if you have an iPhone")</f>
        <v>How to text from your PC if you have an iPhone</v>
      </c>
      <c r="N43" s="11" t="s">
        <v>175</v>
      </c>
      <c r="AF43" s="11">
        <f>SUBTOTAL(3,_xlfn.SINGLE(tbl_tags[RowId]))</f>
        <v>1</v>
      </c>
    </row>
    <row r="44" spans="5:32">
      <c r="E44" t="str">
        <f>IF(G44&lt;&gt;tbl_tags[[#This Row],[Tags]],"X","")</f>
        <v/>
      </c>
      <c r="G44" s="259" t="s">
        <v>2282</v>
      </c>
      <c r="J44" s="4">
        <v>22</v>
      </c>
      <c r="K44" s="20" t="s">
        <v>2282</v>
      </c>
      <c r="L44" s="4">
        <v>1</v>
      </c>
      <c r="M44" s="21" t="str">
        <f>HYPERLINK("obsidian://open?vault=o2&amp;file=Hover%20Icons%20for%20Headers%20Addon.md","Hover Icons for Headers Addon")</f>
        <v>Hover Icons for Headers Addon</v>
      </c>
      <c r="N44" s="11" t="s">
        <v>175</v>
      </c>
      <c r="AF44" s="11">
        <f>SUBTOTAL(3,_xlfn.SINGLE(tbl_tags[RowId]))</f>
        <v>1</v>
      </c>
    </row>
    <row r="45" spans="5:32">
      <c r="E45" t="str">
        <f>IF(G45&lt;&gt;tbl_tags[[#This Row],[Tags]],"X","")</f>
        <v/>
      </c>
      <c r="G45" s="258" t="s">
        <v>2283</v>
      </c>
      <c r="J45" s="4">
        <v>23</v>
      </c>
      <c r="K45" s="20" t="s">
        <v>2283</v>
      </c>
      <c r="L45" s="4">
        <v>1</v>
      </c>
      <c r="M45" s="21" t="str">
        <f>HYPERLINK("obsidian://open?vault=o2&amp;file=personsTemplate.md","personsTemplate")</f>
        <v>personsTemplate</v>
      </c>
      <c r="N45" s="11" t="s">
        <v>175</v>
      </c>
      <c r="AF45" s="11">
        <f>SUBTOTAL(3,_xlfn.SINGLE(tbl_tags[RowId]))</f>
        <v>1</v>
      </c>
    </row>
    <row r="46" spans="5:32">
      <c r="E46" t="str">
        <f>IF(G46&lt;&gt;tbl_tags[[#This Row],[Tags]],"X","")</f>
        <v/>
      </c>
      <c r="G46" s="259" t="s">
        <v>1385</v>
      </c>
      <c r="J46" s="4">
        <v>24</v>
      </c>
      <c r="K46" s="20" t="s">
        <v>1385</v>
      </c>
      <c r="L46" s="4">
        <v>2</v>
      </c>
      <c r="M4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N46" s="11" t="s">
        <v>175</v>
      </c>
      <c r="O46" s="21" t="str">
        <f>HYPERLINK("obsidian://open?vault=o2&amp;file=personsTemplate.md","personsTemplate")</f>
        <v>personsTemplate</v>
      </c>
      <c r="P46" s="11" t="s">
        <v>175</v>
      </c>
      <c r="AF46" s="11">
        <f>SUBTOTAL(3,_xlfn.SINGLE(tbl_tags[RowId]))</f>
        <v>1</v>
      </c>
    </row>
    <row r="47" spans="5:32">
      <c r="E47" t="str">
        <f>IF(G47&lt;&gt;tbl_tags[[#This Row],[Tags]],"X","")</f>
        <v/>
      </c>
      <c r="G47" s="258" t="s">
        <v>2284</v>
      </c>
      <c r="J47" s="4">
        <v>25</v>
      </c>
      <c r="K47" s="20" t="s">
        <v>2284</v>
      </c>
      <c r="L47" s="4">
        <v>1</v>
      </c>
      <c r="M47" s="21" t="str">
        <f>HYPERLINK("obsidian://open?vault=o2&amp;file=Windows%2010%20and%2011%20Wont%20Boot%2C%20How%20To%20Fix%20UEFI%20Partition.md","Windows 10 and 11 Wont Boot, How To Fix UEFI Partition")</f>
        <v>Windows 10 and 11 Wont Boot, How To Fix UEFI Partition</v>
      </c>
      <c r="N47" s="11" t="s">
        <v>175</v>
      </c>
      <c r="AF47" s="11">
        <f>SUBTOTAL(3,_xlfn.SINGLE(tbl_tags[RowId]))</f>
        <v>1</v>
      </c>
    </row>
    <row r="48" spans="5:32">
      <c r="E48" t="str">
        <f>IF(G48&lt;&gt;tbl_tags[[#This Row],[Tags]],"X","")</f>
        <v/>
      </c>
      <c r="G48" s="259" t="s">
        <v>2285</v>
      </c>
      <c r="J48" s="4">
        <v>26</v>
      </c>
      <c r="K48" s="20" t="s">
        <v>2285</v>
      </c>
      <c r="L48" s="4">
        <v>1</v>
      </c>
      <c r="M48" s="21" t="str">
        <f>HYPERLINK("obsidian://open?vault=o2&amp;file=Setup%20Servarr.md","Setup Servarr")</f>
        <v>Setup Servarr</v>
      </c>
      <c r="N48" s="11" t="s">
        <v>175</v>
      </c>
      <c r="AF48" s="11">
        <f>SUBTOTAL(3,_xlfn.SINGLE(tbl_tags[RowId]))</f>
        <v>1</v>
      </c>
    </row>
    <row r="49" spans="5:32">
      <c r="E49" t="str">
        <f>IF(G49&lt;&gt;tbl_tags[[#This Row],[Tags]],"X","")</f>
        <v/>
      </c>
      <c r="G49" s="258" t="s">
        <v>2286</v>
      </c>
      <c r="J49" s="4">
        <v>27</v>
      </c>
      <c r="K49" s="20" t="s">
        <v>2286</v>
      </c>
      <c r="L49" s="4">
        <v>1</v>
      </c>
      <c r="M49" s="21" t="str">
        <f>HYPERLINK("obsidian://open?vault=o2&amp;file=Flat%20Icon%20and%20Shadow%20Using%20The%20Blend%20Tool%20In%20Adobe%20Illustrator.md","Flat Icon and Shadow Using The Blend Tool In Adobe Illustrator")</f>
        <v>Flat Icon and Shadow Using The Blend Tool In Adobe Illustrator</v>
      </c>
      <c r="N49" s="11" t="s">
        <v>175</v>
      </c>
      <c r="AF49" s="11">
        <f>SUBTOTAL(3,_xlfn.SINGLE(tbl_tags[RowId]))</f>
        <v>1</v>
      </c>
    </row>
    <row r="50" spans="5:32">
      <c r="E50" t="str">
        <f>IF(G50&lt;&gt;tbl_tags[[#This Row],[Tags]],"X","")</f>
        <v/>
      </c>
      <c r="G50" s="259" t="s">
        <v>2287</v>
      </c>
      <c r="J50" s="4">
        <v>28</v>
      </c>
      <c r="K50" s="20" t="s">
        <v>2287</v>
      </c>
      <c r="L50" s="4">
        <v>1</v>
      </c>
      <c r="M50" s="21" t="str">
        <f>HYPERLINK("obsidian://open?vault=o2&amp;file=10th%20Step%20Homework.md","10th Step Homework")</f>
        <v>10th Step Homework</v>
      </c>
      <c r="N50" s="11" t="s">
        <v>175</v>
      </c>
      <c r="AF50" s="11">
        <f>SUBTOTAL(3,_xlfn.SINGLE(tbl_tags[RowId]))</f>
        <v>1</v>
      </c>
    </row>
    <row r="51" spans="5:32">
      <c r="E51" t="str">
        <f>IF(G51&lt;&gt;tbl_tags[[#This Row],[Tags]],"X","")</f>
        <v/>
      </c>
      <c r="G51" s="258" t="s">
        <v>2288</v>
      </c>
      <c r="J51" s="4">
        <v>29</v>
      </c>
      <c r="K51" s="20" t="s">
        <v>2288</v>
      </c>
      <c r="L51" s="4">
        <v>1</v>
      </c>
      <c r="M51" s="21" t="str">
        <f>HYPERLINK("obsidian://open?vault=o2&amp;file=Windows%2010%20and%2011%20Wont%20Boot%2C%20How%20To%20Fix%20UEFI%20Partition.md","Windows 10 and 11 Wont Boot, How To Fix UEFI Partition")</f>
        <v>Windows 10 and 11 Wont Boot, How To Fix UEFI Partition</v>
      </c>
      <c r="N51" s="11" t="s">
        <v>175</v>
      </c>
      <c r="AF51" s="11">
        <f>SUBTOTAL(3,_xlfn.SINGLE(tbl_tags[RowId]))</f>
        <v>1</v>
      </c>
    </row>
    <row r="52" spans="5:32">
      <c r="E52" t="str">
        <f>IF(G52&lt;&gt;tbl_tags[[#This Row],[Tags]],"X","")</f>
        <v/>
      </c>
      <c r="G52" s="259" t="s">
        <v>2289</v>
      </c>
      <c r="J52" s="4">
        <v>30</v>
      </c>
      <c r="K52" s="20" t="s">
        <v>2289</v>
      </c>
      <c r="L52" s="4">
        <v>2</v>
      </c>
      <c r="M52" s="21" t="str">
        <f>HYPERLINK("obsidian://open?vault=o2&amp;file=My%20Firefox%20Plugins-2024.md","My Firefox Plugins-2024")</f>
        <v>My Firefox Plugins-2024</v>
      </c>
      <c r="N52" s="11" t="s">
        <v>175</v>
      </c>
      <c r="O52" s="21" t="str">
        <f>HYPERLINK("obsidian://open?vault=o2&amp;file=Setup%20Multi%20Row%20Tabs%20in%20Firefox.md","Setup Multi Row Tabs in Firefox")</f>
        <v>Setup Multi Row Tabs in Firefox</v>
      </c>
      <c r="P52" s="11" t="s">
        <v>175</v>
      </c>
      <c r="AF52" s="11">
        <f>SUBTOTAL(3,_xlfn.SINGLE(tbl_tags[RowId]))</f>
        <v>1</v>
      </c>
    </row>
    <row r="53" spans="5:32">
      <c r="E53" t="str">
        <f>IF(G53&lt;&gt;tbl_tags[[#This Row],[Tags]],"X","")</f>
        <v/>
      </c>
      <c r="G53" s="258" t="s">
        <v>2290</v>
      </c>
      <c r="J53" s="4">
        <v>31</v>
      </c>
      <c r="K53" s="20" t="s">
        <v>2290</v>
      </c>
      <c r="L53" s="4">
        <v>1</v>
      </c>
      <c r="M53" s="21" t="str">
        <f>HYPERLINK("obsidian://open?vault=o2&amp;file=Research%20Desk%20Lighting.md","Research Desk Lighting")</f>
        <v>Research Desk Lighting</v>
      </c>
      <c r="N53" s="11" t="s">
        <v>175</v>
      </c>
      <c r="AF53" s="11">
        <f>SUBTOTAL(3,_xlfn.SINGLE(tbl_tags[RowId]))</f>
        <v>1</v>
      </c>
    </row>
    <row r="54" spans="5:32">
      <c r="E54" t="str">
        <f>IF(G54&lt;&gt;tbl_tags[[#This Row],[Tags]],"X","")</f>
        <v/>
      </c>
      <c r="G54" s="259" t="s">
        <v>2291</v>
      </c>
      <c r="J54" s="4">
        <v>32</v>
      </c>
      <c r="K54" s="20" t="s">
        <v>2291</v>
      </c>
      <c r="L54" s="4">
        <v>1</v>
      </c>
      <c r="M54" s="21" t="str">
        <f>HYPERLINK("obsidian://open?vault=o2&amp;file=Obsidian%20Tracker%20Plugin.md","Obsidian Tracker Plugin")</f>
        <v>Obsidian Tracker Plugin</v>
      </c>
      <c r="N54" s="11" t="s">
        <v>175</v>
      </c>
      <c r="AF54" s="11">
        <f>SUBTOTAL(3,_xlfn.SINGLE(tbl_tags[RowId]))</f>
        <v>1</v>
      </c>
    </row>
    <row r="55" spans="5:32">
      <c r="E55" t="str">
        <f>IF(G55&lt;&gt;tbl_tags[[#This Row],[Tags]],"X","")</f>
        <v/>
      </c>
      <c r="G55" s="258" t="s">
        <v>2292</v>
      </c>
      <c r="J55" s="4">
        <v>33</v>
      </c>
      <c r="K55" s="20" t="s">
        <v>2292</v>
      </c>
      <c r="L55" s="4">
        <v>1</v>
      </c>
      <c r="M55" s="21" t="str">
        <f>HYPERLINK("obsidian://open?vault=o2&amp;file=1-Projects.md","1-Projects")</f>
        <v>1-Projects</v>
      </c>
      <c r="N55" s="11" t="s">
        <v>175</v>
      </c>
      <c r="AF55" s="11">
        <f>SUBTOTAL(3,_xlfn.SINGLE(tbl_tags[RowId]))</f>
        <v>1</v>
      </c>
    </row>
    <row r="56" spans="5:32">
      <c r="E56" t="str">
        <f>IF(G56&lt;&gt;tbl_tags[[#This Row],[Tags]],"X","")</f>
        <v/>
      </c>
      <c r="G56" s="259" t="s">
        <v>2293</v>
      </c>
      <c r="J56" s="4">
        <v>34</v>
      </c>
      <c r="K56" s="20" t="s">
        <v>2293</v>
      </c>
      <c r="L56" s="4">
        <v>40</v>
      </c>
      <c r="M56" s="21" t="str">
        <f>HYPERLINK("obsidian://open?vault=o2&amp;file=Expand%20CasaOS%20App%20Library.md","Expand CasaOS App Library")</f>
        <v>Expand CasaOS App Library</v>
      </c>
      <c r="N56" s="11" t="s">
        <v>175</v>
      </c>
      <c r="O56" s="21" t="str">
        <f>HYPERLINK("obsidian://open?vault=o2&amp;file=Fix%20Drives%20with%20Partition%20Magic.md","Fix Drives with Partition Magic")</f>
        <v>Fix Drives with Partition Magic</v>
      </c>
      <c r="P56" s="11" t="s">
        <v>175</v>
      </c>
      <c r="Q56" s="21" t="str">
        <f>HYPERLINK("obsidian://open?vault=o2&amp;file=Latest%20Network%20Mappings.md","Latest Network Mappings")</f>
        <v>Latest Network Mappings</v>
      </c>
      <c r="R56" s="11" t="s">
        <v>175</v>
      </c>
      <c r="S56" s="21" t="str">
        <f>HYPERLINK("obsidian://open?vault=o2&amp;file=Make%20a%20USB%20CasaOS%20Recovery%20Drive.md","Make a USB CasaOS Recovery Drive")</f>
        <v>Make a USB CasaOS Recovery Drive</v>
      </c>
      <c r="T56" s="11" t="s">
        <v>175</v>
      </c>
      <c r="U56" s="21" t="str">
        <f>HYPERLINK("obsidian://open?vault=o2&amp;file=Manage%20Users.md","Manage Users")</f>
        <v>Manage Users</v>
      </c>
      <c r="V56" s="11" t="s">
        <v>175</v>
      </c>
      <c r="W56" s="21" t="str">
        <f>HYPERLINK("obsidian://open?vault=o2&amp;file=My%20Firefox%20Plugins-2024.md","My Firefox Plugins-2024")</f>
        <v>My Firefox Plugins-2024</v>
      </c>
      <c r="X56" s="11" t="s">
        <v>175</v>
      </c>
      <c r="Y56" s="21" t="str">
        <f>HYPERLINK("obsidian://open?vault=o2&amp;file=Port%20Forwarding%20on%20Xfinity.md","Port Forwarding on Xfinity")</f>
        <v>Port Forwarding on Xfinity</v>
      </c>
      <c r="Z56" s="11" t="s">
        <v>175</v>
      </c>
      <c r="AA56" s="21" t="str">
        <f>HYPERLINK("obsidian://open?vault=o2&amp;file=Re-installing%20CasaOS.md","Re-installing CasaOS")</f>
        <v>Re-installing CasaOS</v>
      </c>
      <c r="AB56" s="11" t="s">
        <v>175</v>
      </c>
      <c r="AC56" s="21" t="str">
        <f>HYPERLINK("obsidian://open?vault=o2&amp;file=Secure%20Remote%20Access.md","Secure Remote Access")</f>
        <v>Secure Remote Access</v>
      </c>
      <c r="AD56" s="11" t="s">
        <v>175</v>
      </c>
      <c r="AE56" s="21" t="str">
        <f>HYPERLINK("obsidian://open?vault=o2&amp;file=Setup%20a%20VPN%20on%20your%20network.md","Setup a VPN on your network")</f>
        <v>Setup a VPN on your network</v>
      </c>
      <c r="AF56" s="11">
        <f>SUBTOTAL(3,_xlfn.SINGLE(tbl_tags[RowId]))</f>
        <v>1</v>
      </c>
    </row>
    <row r="57" spans="5:32">
      <c r="E57" t="str">
        <f>IF(G57&lt;&gt;tbl_tags[[#This Row],[Tags]],"X","")</f>
        <v/>
      </c>
      <c r="G57" s="258" t="s">
        <v>2294</v>
      </c>
      <c r="J57" s="4">
        <v>35</v>
      </c>
      <c r="K57" s="20" t="s">
        <v>2294</v>
      </c>
      <c r="L57" s="4">
        <v>1</v>
      </c>
      <c r="M57" s="21" t="str">
        <f>HYPERLINK("obsidian://open?vault=o2&amp;file=Google%20Dorks%202025.md","Google Dorks 2025")</f>
        <v>Google Dorks 2025</v>
      </c>
      <c r="N57" s="11" t="s">
        <v>175</v>
      </c>
      <c r="AF57" s="11">
        <f>SUBTOTAL(3,_xlfn.SINGLE(tbl_tags[RowId]))</f>
        <v>1</v>
      </c>
    </row>
    <row r="58" spans="5:32">
      <c r="E58" t="str">
        <f>IF(G58&lt;&gt;tbl_tags[[#This Row],[Tags]],"X","")</f>
        <v/>
      </c>
      <c r="G58" s="259" t="s">
        <v>2295</v>
      </c>
      <c r="J58" s="4">
        <v>36</v>
      </c>
      <c r="K58" s="20" t="s">
        <v>2295</v>
      </c>
      <c r="L58" s="4">
        <v>1</v>
      </c>
      <c r="M58" s="21" t="str">
        <f>HYPERLINK("obsidian://open?vault=o2&amp;file=Search%20and%20Replace%20in%20Vim.md","Search and Replace in Vim")</f>
        <v>Search and Replace in Vim</v>
      </c>
      <c r="N58" s="11" t="s">
        <v>175</v>
      </c>
      <c r="AF58" s="11">
        <f>SUBTOTAL(3,_xlfn.SINGLE(tbl_tags[RowId]))</f>
        <v>1</v>
      </c>
    </row>
    <row r="59" spans="5:32">
      <c r="E59" t="str">
        <f>IF(G59&lt;&gt;tbl_tags[[#This Row],[Tags]],"X","")</f>
        <v/>
      </c>
      <c r="G59" s="258" t="s">
        <v>17</v>
      </c>
      <c r="J59" s="4">
        <v>37</v>
      </c>
      <c r="K59" s="20" t="s">
        <v>17</v>
      </c>
      <c r="L59" s="4">
        <v>6</v>
      </c>
      <c r="M59" s="21" t="str">
        <f>HYPERLINK("obsidian://open?vault=o2&amp;file=FacebookDump.md","FacebookDump")</f>
        <v>FacebookDump</v>
      </c>
      <c r="N59" s="11" t="s">
        <v>175</v>
      </c>
      <c r="O59" s="21" t="str">
        <f>HYPERLINK("obsidian://open?vault=o2&amp;file=PC%20Re-Build%20Step%20Sequence%20Script.md","PC Re-Build Step Sequence Script")</f>
        <v>PC Re-Build Step Sequence Script</v>
      </c>
      <c r="P59" s="11" t="s">
        <v>175</v>
      </c>
      <c r="Q59" s="21" t="str">
        <f>HYPERLINK("obsidian://open?vault=o2&amp;file=personsDB%20Maintenance.md","personsDB Maintenance")</f>
        <v>personsDB Maintenance</v>
      </c>
      <c r="R59" s="11" t="s">
        <v>175</v>
      </c>
      <c r="S59" s="21" t="str">
        <f>HYPERLINK("obsidian://open?vault=o2&amp;file=peepsTemplate.md","peepsTemplate")</f>
        <v>peepsTemplate</v>
      </c>
      <c r="T59" s="11" t="s">
        <v>175</v>
      </c>
      <c r="U59" s="21" t="str">
        <f>HYPERLINK("obsidian://open?vault=o2&amp;file=peepsTemplatetest1.md","peepsTemplatetest1")</f>
        <v>peepsTemplatetest1</v>
      </c>
      <c r="V59" s="11" t="s">
        <v>175</v>
      </c>
      <c r="W59" s="21" t="str">
        <f>HYPERLINK("obsidian://open?vault=o2&amp;file=personsTemplate.md","personsTemplate")</f>
        <v>personsTemplate</v>
      </c>
      <c r="X59" s="11" t="s">
        <v>175</v>
      </c>
      <c r="AF59" s="11">
        <f>SUBTOTAL(3,_xlfn.SINGLE(tbl_tags[RowId]))</f>
        <v>1</v>
      </c>
    </row>
    <row r="60" spans="5:32">
      <c r="E60" t="str">
        <f>IF(G60&lt;&gt;tbl_tags[[#This Row],[Tags]],"X","")</f>
        <v/>
      </c>
      <c r="G60" s="259" t="s">
        <v>2296</v>
      </c>
      <c r="J60" s="4">
        <v>38</v>
      </c>
      <c r="K60" s="20" t="s">
        <v>2296</v>
      </c>
      <c r="L60" s="4">
        <v>1</v>
      </c>
      <c r="M60" s="21" t="str">
        <f>HYPERLINK("obsidian://open?vault=o2&amp;file=50%20Best%20Christmas%20Movies.md","50 Best Christmas Movies")</f>
        <v>50 Best Christmas Movies</v>
      </c>
      <c r="N60" s="11" t="s">
        <v>175</v>
      </c>
      <c r="AF60" s="11">
        <f>SUBTOTAL(3,_xlfn.SINGLE(tbl_tags[RowId]))</f>
        <v>1</v>
      </c>
    </row>
    <row r="61" spans="5:32">
      <c r="E61" t="str">
        <f>IF(G61&lt;&gt;tbl_tags[[#This Row],[Tags]],"X","")</f>
        <v/>
      </c>
      <c r="G61" s="258" t="s">
        <v>2297</v>
      </c>
      <c r="J61" s="4">
        <v>39</v>
      </c>
      <c r="K61" s="20" t="s">
        <v>2297</v>
      </c>
      <c r="L61" s="4">
        <v>1</v>
      </c>
      <c r="M61" s="21" t="str">
        <f>HYPERLINK("obsidian://open?vault=o2&amp;file=Chrome%20Built-In%20Hotkeys.md","Chrome Built-In Hotkeys")</f>
        <v>Chrome Built-In Hotkeys</v>
      </c>
      <c r="N61" s="11" t="s">
        <v>175</v>
      </c>
      <c r="AF61" s="11">
        <f>SUBTOTAL(3,_xlfn.SINGLE(tbl_tags[RowId]))</f>
        <v>1</v>
      </c>
    </row>
    <row r="62" spans="5:32">
      <c r="E62" t="str">
        <f>IF(G62&lt;&gt;tbl_tags[[#This Row],[Tags]],"X","")</f>
        <v/>
      </c>
      <c r="G62" s="259" t="s">
        <v>2298</v>
      </c>
      <c r="J62" s="4">
        <v>40</v>
      </c>
      <c r="K62" s="20" t="s">
        <v>2298</v>
      </c>
      <c r="L62" s="4">
        <v>1</v>
      </c>
      <c r="M62" s="21" t="str">
        <f>HYPERLINK("obsidian://open?vault=o2&amp;file=BISAC%20Book%20Classifications.md","BISAC Book Classifications")</f>
        <v>BISAC Book Classifications</v>
      </c>
      <c r="N62" s="11" t="s">
        <v>175</v>
      </c>
      <c r="AF62" s="11">
        <f>SUBTOTAL(3,_xlfn.SINGLE(tbl_tags[RowId]))</f>
        <v>1</v>
      </c>
    </row>
    <row r="63" spans="5:32">
      <c r="E63" t="str">
        <f>IF(G63&lt;&gt;tbl_tags[[#This Row],[Tags]],"X","")</f>
        <v/>
      </c>
      <c r="G63" s="258" t="s">
        <v>2299</v>
      </c>
      <c r="J63" s="4">
        <v>41</v>
      </c>
      <c r="K63" s="20" t="s">
        <v>2299</v>
      </c>
      <c r="L63" s="4">
        <v>1</v>
      </c>
      <c r="M63" s="21" t="str">
        <f>HYPERLINK("obsidian://open?vault=o2&amp;file=cPanel%20Alternatives.md","cPanel Alternatives")</f>
        <v>cPanel Alternatives</v>
      </c>
      <c r="N63" s="11" t="s">
        <v>175</v>
      </c>
      <c r="AF63" s="11">
        <f>SUBTOTAL(3,_xlfn.SINGLE(tbl_tags[RowId]))</f>
        <v>1</v>
      </c>
    </row>
    <row r="64" spans="5:32">
      <c r="E64" t="str">
        <f>IF(G64&lt;&gt;tbl_tags[[#This Row],[Tags]],"X","")</f>
        <v/>
      </c>
      <c r="G64" s="259" t="s">
        <v>2300</v>
      </c>
      <c r="J64" s="4">
        <v>42</v>
      </c>
      <c r="K64" s="20" t="s">
        <v>2300</v>
      </c>
      <c r="L64" s="4">
        <v>2</v>
      </c>
      <c r="M64" s="21" t="str">
        <f>HYPERLINK("obsidian://open?vault=o2&amp;file=Secure%20Remote%20Access.md","Secure Remote Access")</f>
        <v>Secure Remote Access</v>
      </c>
      <c r="N64" s="11" t="s">
        <v>175</v>
      </c>
      <c r="O64" s="21" t="str">
        <f>HYPERLINK("obsidian://open?vault=o2&amp;file=Setup%20DDNS%20on%20Cloudflare.md","Setup DDNS on Cloudflare")</f>
        <v>Setup DDNS on Cloudflare</v>
      </c>
      <c r="P64" s="11" t="s">
        <v>175</v>
      </c>
      <c r="AF64" s="11">
        <f>SUBTOTAL(3,_xlfn.SINGLE(tbl_tags[RowId]))</f>
        <v>1</v>
      </c>
    </row>
    <row r="65" spans="5:32">
      <c r="E65" t="str">
        <f>IF(G65&lt;&gt;tbl_tags[[#This Row],[Tags]],"X","")</f>
        <v/>
      </c>
      <c r="G65" s="258" t="s">
        <v>2301</v>
      </c>
      <c r="J65" s="4">
        <v>43</v>
      </c>
      <c r="K65" s="20" t="s">
        <v>2301</v>
      </c>
      <c r="L65" s="4">
        <v>1</v>
      </c>
      <c r="M65" s="21" t="str">
        <f>HYPERLINK("obsidian://open?vault=o2&amp;file=MD%20Web%20Clipper%20User%20Guide.md","MD Web Clipper User Guide")</f>
        <v>MD Web Clipper User Guide</v>
      </c>
      <c r="N65" s="11" t="s">
        <v>175</v>
      </c>
      <c r="AF65" s="11">
        <f>SUBTOTAL(3,_xlfn.SINGLE(tbl_tags[RowId]))</f>
        <v>1</v>
      </c>
    </row>
    <row r="66" spans="5:32">
      <c r="E66" t="str">
        <f>IF(G66&lt;&gt;tbl_tags[[#This Row],[Tags]],"X","")</f>
        <v/>
      </c>
      <c r="G66" s="259" t="s">
        <v>2302</v>
      </c>
      <c r="J66" s="4">
        <v>44</v>
      </c>
      <c r="K66" s="20" t="s">
        <v>2302</v>
      </c>
      <c r="L66" s="4">
        <v>4</v>
      </c>
      <c r="M66" s="21" t="str">
        <f>HYPERLINK("obsidian://open?vault=o2&amp;file=Learn%20Python%20in%20Y%20Minutes.md","Learn Python in Y Minutes")</f>
        <v>Learn Python in Y Minutes</v>
      </c>
      <c r="N66" s="11" t="s">
        <v>175</v>
      </c>
      <c r="O66" s="21" t="str">
        <f>HYPERLINK("obsidian://open?vault=o2&amp;file=%E2%9A%A1%20CasaOS%20Project.md","⚡ CasaOS Project")</f>
        <v>⚡ CasaOS Project</v>
      </c>
      <c r="P66" s="11" t="s">
        <v>175</v>
      </c>
      <c r="Q66" s="21" t="str">
        <f>HYPERLINK("obsidian://open?vault=o2&amp;file=Advanced%20regular%20expression%20features%20to%20match%20Markdown%20links.md","Advanced regular expression features to match Markdown links")</f>
        <v>Advanced regular expression features to match Markdown links</v>
      </c>
      <c r="R66" s="11" t="s">
        <v>175</v>
      </c>
      <c r="S66" s="21" t="str">
        <f>HYPERLINK("obsidian://open?vault=o2&amp;file=Software%20under%20the%20Virtualmin%20Professional%20Plan.md","Software under the Virtualmin Professional Plan")</f>
        <v>Software under the Virtualmin Professional Plan</v>
      </c>
      <c r="T66" s="11" t="s">
        <v>175</v>
      </c>
      <c r="AF66" s="11">
        <f>SUBTOTAL(3,_xlfn.SINGLE(tbl_tags[RowId]))</f>
        <v>1</v>
      </c>
    </row>
    <row r="67" spans="5:32">
      <c r="E67" t="str">
        <f>IF(G67&lt;&gt;tbl_tags[[#This Row],[Tags]],"X","")</f>
        <v/>
      </c>
      <c r="G67" s="258" t="s">
        <v>2303</v>
      </c>
      <c r="J67" s="4">
        <v>45</v>
      </c>
      <c r="K67" s="20" t="s">
        <v>2303</v>
      </c>
      <c r="L67" s="4">
        <v>1</v>
      </c>
      <c r="M67" s="21" t="str">
        <f>HYPERLINK("obsidian://open?vault=o2&amp;file=Jokologue.md","Jokologue")</f>
        <v>Jokologue</v>
      </c>
      <c r="N67" s="11" t="s">
        <v>175</v>
      </c>
      <c r="AF67" s="11">
        <f>SUBTOTAL(3,_xlfn.SINGLE(tbl_tags[RowId]))</f>
        <v>1</v>
      </c>
    </row>
    <row r="68" spans="5:32">
      <c r="E68" t="str">
        <f>IF(G68&lt;&gt;tbl_tags[[#This Row],[Tags]],"X","")</f>
        <v/>
      </c>
      <c r="G68" s="259" t="s">
        <v>2304</v>
      </c>
      <c r="J68" s="4">
        <v>46</v>
      </c>
      <c r="K68" s="20" t="s">
        <v>2304</v>
      </c>
      <c r="L68" s="4">
        <v>2</v>
      </c>
      <c r="M68" s="21" t="str">
        <f>HYPERLINK("obsidian://open?vault=o2&amp;file=Templater%20Cheat%20Sheet.md","Templater Cheat Sheet")</f>
        <v>Templater Cheat Sheet</v>
      </c>
      <c r="N68" s="11" t="s">
        <v>175</v>
      </c>
      <c r="O68" s="21" t="str">
        <f>HYPERLINK("obsidian://open?vault=o2&amp;file=Set%20Up%20and%20Secure%20a%20Compute%20Instance.md","Set Up and Secure a Compute Instance")</f>
        <v>Set Up and Secure a Compute Instance</v>
      </c>
      <c r="P68" s="11" t="s">
        <v>175</v>
      </c>
      <c r="AF68" s="11">
        <f>SUBTOTAL(3,_xlfn.SINGLE(tbl_tags[RowId]))</f>
        <v>1</v>
      </c>
    </row>
    <row r="69" spans="5:32">
      <c r="E69" t="str">
        <f>IF(G69&lt;&gt;tbl_tags[[#This Row],[Tags]],"X","")</f>
        <v/>
      </c>
      <c r="G69" s="258" t="s">
        <v>2305</v>
      </c>
      <c r="J69" s="4">
        <v>47</v>
      </c>
      <c r="K69" s="20" t="s">
        <v>2305</v>
      </c>
      <c r="L69" s="4">
        <v>1</v>
      </c>
      <c r="M69" s="21" t="str">
        <f>HYPERLINK("obsidian://open?vault=o2&amp;file=Hotkeys%20Defined-Orig.md","Hotkeys Defined-Orig")</f>
        <v>Hotkeys Defined-Orig</v>
      </c>
      <c r="N69" s="11" t="s">
        <v>175</v>
      </c>
      <c r="AF69" s="11">
        <f>SUBTOTAL(3,_xlfn.SINGLE(tbl_tags[RowId]))</f>
        <v>1</v>
      </c>
    </row>
    <row r="70" spans="5:32">
      <c r="E70" t="str">
        <f>IF(G70&lt;&gt;tbl_tags[[#This Row],[Tags]],"X","")</f>
        <v/>
      </c>
      <c r="G70" s="259" t="s">
        <v>2306</v>
      </c>
      <c r="J70" s="4">
        <v>48</v>
      </c>
      <c r="K70" s="20" t="s">
        <v>2306</v>
      </c>
      <c r="L70" s="4">
        <v>1</v>
      </c>
      <c r="M70" s="21" t="str">
        <f>HYPERLINK("obsidian://open?vault=o2&amp;file=17%20Habits%20of%20the%20Self-Destructive%20Person%20%28%2B%20How%20to%20Stop%29.md","17 Habits of the Self-Destructive Person (+ How to Stop)")</f>
        <v>17 Habits of the Self-Destructive Person (+ How to Stop)</v>
      </c>
      <c r="N70" s="11" t="s">
        <v>175</v>
      </c>
      <c r="AF70" s="11">
        <f>SUBTOTAL(3,_xlfn.SINGLE(tbl_tags[RowId]))</f>
        <v>1</v>
      </c>
    </row>
    <row r="71" spans="5:32">
      <c r="E71" t="str">
        <f>IF(G71&lt;&gt;tbl_tags[[#This Row],[Tags]],"X","")</f>
        <v/>
      </c>
      <c r="G71" s="258" t="s">
        <v>2307</v>
      </c>
      <c r="J71" s="4">
        <v>49</v>
      </c>
      <c r="K71" s="20" t="s">
        <v>2307</v>
      </c>
      <c r="L71" s="4">
        <v>1</v>
      </c>
      <c r="M71" s="21" t="str">
        <f>HYPERLINK("obsidian://open?vault=o2&amp;file=Setup%20Certificate.md","Setup Certificate")</f>
        <v>Setup Certificate</v>
      </c>
      <c r="N71" s="11" t="s">
        <v>175</v>
      </c>
      <c r="AF71" s="11">
        <f>SUBTOTAL(3,_xlfn.SINGLE(tbl_tags[RowId]))</f>
        <v>1</v>
      </c>
    </row>
    <row r="72" spans="5:32">
      <c r="E72" t="str">
        <f>IF(G72&lt;&gt;tbl_tags[[#This Row],[Tags]],"X","")</f>
        <v/>
      </c>
      <c r="G72" s="259" t="s">
        <v>2308</v>
      </c>
      <c r="J72" s="4">
        <v>50</v>
      </c>
      <c r="K72" s="20" t="s">
        <v>2308</v>
      </c>
      <c r="L72" s="4">
        <v>2</v>
      </c>
      <c r="M72" s="21" t="str">
        <f>HYPERLINK("obsidian://open?vault=o2&amp;file=Setup%20Servarr.md","Setup Servarr")</f>
        <v>Setup Servarr</v>
      </c>
      <c r="N72" s="11" t="s">
        <v>175</v>
      </c>
      <c r="O72" s="21" t="str">
        <f>HYPERLINK("obsidian://open?vault=o2&amp;file=Rainmeter.md","Rainmeter")</f>
        <v>Rainmeter</v>
      </c>
      <c r="P72" s="11" t="s">
        <v>175</v>
      </c>
      <c r="AF72" s="11">
        <f>SUBTOTAL(3,_xlfn.SINGLE(tbl_tags[RowId]))</f>
        <v>1</v>
      </c>
    </row>
    <row r="73" spans="5:32">
      <c r="E73" t="str">
        <f>IF(G73&lt;&gt;tbl_tags[[#This Row],[Tags]],"X","")</f>
        <v/>
      </c>
      <c r="G73" s="258" t="s">
        <v>2309</v>
      </c>
      <c r="J73" s="4">
        <v>51</v>
      </c>
      <c r="K73" s="20" t="s">
        <v>2309</v>
      </c>
      <c r="L73" s="4">
        <v>1</v>
      </c>
      <c r="M73" s="21" t="str">
        <f>HYPERLINK("obsidian://open?vault=o2&amp;file=Setup%20Servarr.md","Setup Servarr")</f>
        <v>Setup Servarr</v>
      </c>
      <c r="N73" s="11" t="s">
        <v>175</v>
      </c>
      <c r="AF73" s="11">
        <f>SUBTOTAL(3,_xlfn.SINGLE(tbl_tags[RowId]))</f>
        <v>1</v>
      </c>
    </row>
    <row r="74" spans="5:32">
      <c r="E74" t="str">
        <f>IF(G74&lt;&gt;tbl_tags[[#This Row],[Tags]],"X","")</f>
        <v/>
      </c>
      <c r="G74" s="259" t="s">
        <v>2310</v>
      </c>
      <c r="J74" s="4">
        <v>52</v>
      </c>
      <c r="K74" s="20" t="s">
        <v>2310</v>
      </c>
      <c r="L74" s="4">
        <v>1</v>
      </c>
      <c r="M74" s="21" t="str">
        <f>HYPERLINK("obsidian://open?vault=o2&amp;file=22%20FREE%20Windows%20Utilities%20EVERY%20User%20MUST%20Know%20About%21.md","22 FREE Windows Utilities EVERY User MUST Know About!")</f>
        <v>22 FREE Windows Utilities EVERY User MUST Know About!</v>
      </c>
      <c r="N74" s="11" t="s">
        <v>175</v>
      </c>
      <c r="AF74" s="11">
        <f>SUBTOTAL(3,_xlfn.SINGLE(tbl_tags[RowId]))</f>
        <v>1</v>
      </c>
    </row>
    <row r="75" spans="5:32">
      <c r="E75" t="str">
        <f>IF(G75&lt;&gt;tbl_tags[[#This Row],[Tags]],"X","")</f>
        <v/>
      </c>
      <c r="G75" s="258" t="s">
        <v>2311</v>
      </c>
      <c r="J75" s="4">
        <v>53</v>
      </c>
      <c r="K75" s="20" t="s">
        <v>2311</v>
      </c>
      <c r="L75" s="4">
        <v>1</v>
      </c>
      <c r="M75" s="21" t="str">
        <f>HYPERLINK("obsidian://open?vault=o2&amp;file=Templater%20Cheat%20Sheet.md","Templater Cheat Sheet")</f>
        <v>Templater Cheat Sheet</v>
      </c>
      <c r="N75" s="11" t="s">
        <v>175</v>
      </c>
      <c r="AF75" s="11">
        <f>SUBTOTAL(3,_xlfn.SINGLE(tbl_tags[RowId]))</f>
        <v>1</v>
      </c>
    </row>
    <row r="76" spans="5:32">
      <c r="E76" t="str">
        <f>IF(G76&lt;&gt;tbl_tags[[#This Row],[Tags]],"X","")</f>
        <v/>
      </c>
      <c r="G76" s="259" t="s">
        <v>914</v>
      </c>
      <c r="J76" s="4">
        <v>54</v>
      </c>
      <c r="K76" s="20" t="s">
        <v>914</v>
      </c>
      <c r="L76" s="4">
        <v>1</v>
      </c>
      <c r="M76" s="21" t="str">
        <f>HYPERLINK("obsidian://open?vault=o2&amp;file=The%20Food%20Expiration%20Dates%20You%20Should%20Actually%20Follow.md","The Food Expiration Dates You Should Actually Follow")</f>
        <v>The Food Expiration Dates You Should Actually Follow</v>
      </c>
      <c r="N76" s="11" t="s">
        <v>175</v>
      </c>
      <c r="AF76" s="11">
        <f>SUBTOTAL(3,_xlfn.SINGLE(tbl_tags[RowId]))</f>
        <v>1</v>
      </c>
    </row>
    <row r="77" spans="5:32">
      <c r="E77" t="str">
        <f>IF(G77&lt;&gt;tbl_tags[[#This Row],[Tags]],"X","")</f>
        <v/>
      </c>
      <c r="G77" s="258" t="s">
        <v>2312</v>
      </c>
      <c r="J77" s="4">
        <v>55</v>
      </c>
      <c r="K77" s="20" t="s">
        <v>2312</v>
      </c>
      <c r="L77" s="4">
        <v>2</v>
      </c>
      <c r="M77" s="21" t="str">
        <f>HYPERLINK("obsidian://open?vault=o2&amp;file=27%20Useful%20CSS%20Plugins%20for%20Obsidian.md","27 Useful CSS Plugins for Obsidian")</f>
        <v>27 Useful CSS Plugins for Obsidian</v>
      </c>
      <c r="N77" s="11" t="s">
        <v>175</v>
      </c>
      <c r="O77" s="21" t="str">
        <f>HYPERLINK("obsidian://open?vault=o2&amp;file=MCL%20Multi%20Column.md","MCL Multi Column")</f>
        <v>MCL Multi Column</v>
      </c>
      <c r="P77" s="11" t="s">
        <v>175</v>
      </c>
      <c r="AF77" s="11">
        <f>SUBTOTAL(3,_xlfn.SINGLE(tbl_tags[RowId]))</f>
        <v>1</v>
      </c>
    </row>
    <row r="78" spans="5:32">
      <c r="E78" t="str">
        <f>IF(G78&lt;&gt;tbl_tags[[#This Row],[Tags]],"X","")</f>
        <v/>
      </c>
      <c r="G78" s="259" t="s">
        <v>2313</v>
      </c>
      <c r="J78" s="4">
        <v>56</v>
      </c>
      <c r="K78" s="20" t="s">
        <v>2313</v>
      </c>
      <c r="L78" s="4">
        <v>1</v>
      </c>
      <c r="M78" s="21" t="str">
        <f>HYPERLINK("obsidian://open?vault=o2&amp;file=MD%20Web%20Clipper%20User%20Guide.md","MD Web Clipper User Guide")</f>
        <v>MD Web Clipper User Guide</v>
      </c>
      <c r="N78" s="11" t="s">
        <v>175</v>
      </c>
      <c r="AF78" s="11">
        <f>SUBTOTAL(3,_xlfn.SINGLE(tbl_tags[RowId]))</f>
        <v>1</v>
      </c>
    </row>
    <row r="79" spans="5:32">
      <c r="E79" t="str">
        <f>IF(G79&lt;&gt;tbl_tags[[#This Row],[Tags]],"X","")</f>
        <v/>
      </c>
      <c r="G79" s="258" t="s">
        <v>2314</v>
      </c>
      <c r="J79" s="4">
        <v>57</v>
      </c>
      <c r="K79" s="20" t="s">
        <v>2314</v>
      </c>
      <c r="L79" s="4">
        <v>3</v>
      </c>
      <c r="M79" s="21" t="str">
        <f>HYPERLINK("obsidian://open?vault=o2&amp;file=%E2%9A%A1%20CasaOS%20Project.md","⚡ CasaOS Project")</f>
        <v>⚡ CasaOS Project</v>
      </c>
      <c r="N79" s="11" t="s">
        <v>175</v>
      </c>
      <c r="O79" s="21" t="str">
        <f>HYPERLINK("obsidian://open?vault=o2&amp;file=cPanel%20Alternatives.md","cPanel Alternatives")</f>
        <v>cPanel Alternatives</v>
      </c>
      <c r="P79" s="11" t="s">
        <v>175</v>
      </c>
      <c r="Q79" s="21" t="str">
        <f>HYPERLINK("obsidian://open?vault=o2&amp;file=Software%20under%20the%20Virtualmin%20Professional%20Plan.md","Software under the Virtualmin Professional Plan")</f>
        <v>Software under the Virtualmin Professional Plan</v>
      </c>
      <c r="R79" s="11" t="s">
        <v>175</v>
      </c>
      <c r="AF79" s="11">
        <f>SUBTOTAL(3,_xlfn.SINGLE(tbl_tags[RowId]))</f>
        <v>1</v>
      </c>
    </row>
    <row r="80" spans="5:32">
      <c r="E80" t="str">
        <f>IF(G80&lt;&gt;tbl_tags[[#This Row],[Tags]],"X","")</f>
        <v/>
      </c>
      <c r="G80" s="259" t="s">
        <v>2315</v>
      </c>
      <c r="J80" s="4">
        <v>58</v>
      </c>
      <c r="K80" s="20" t="s">
        <v>2315</v>
      </c>
      <c r="L80" s="4">
        <v>1</v>
      </c>
      <c r="M80" s="21" t="str">
        <f>HYPERLINK("obsidian://open?vault=o2&amp;file=cPanel%20Alternatives.md","cPanel Alternatives")</f>
        <v>cPanel Alternatives</v>
      </c>
      <c r="N80" s="11" t="s">
        <v>175</v>
      </c>
      <c r="AF80" s="11">
        <f>SUBTOTAL(3,_xlfn.SINGLE(tbl_tags[RowId]))</f>
        <v>1</v>
      </c>
    </row>
    <row r="81" spans="5:32">
      <c r="E81" t="str">
        <f>IF(G81&lt;&gt;tbl_tags[[#This Row],[Tags]],"X","")</f>
        <v/>
      </c>
      <c r="G81" s="258" t="s">
        <v>2316</v>
      </c>
      <c r="J81" s="4">
        <v>59</v>
      </c>
      <c r="K81" s="20" t="s">
        <v>2316</v>
      </c>
      <c r="L81" s="4">
        <v>1</v>
      </c>
      <c r="M81" s="21" t="str">
        <f>HYPERLINK("obsidian://open?vault=o2&amp;file=Daily%20Prayers.md","Daily Prayers")</f>
        <v>Daily Prayers</v>
      </c>
      <c r="N81" s="11" t="s">
        <v>175</v>
      </c>
      <c r="AF81" s="11">
        <f>SUBTOTAL(3,_xlfn.SINGLE(tbl_tags[RowId]))</f>
        <v>1</v>
      </c>
    </row>
    <row r="82" spans="5:32">
      <c r="E82" t="str">
        <f>IF(G82&lt;&gt;tbl_tags[[#This Row],[Tags]],"X","")</f>
        <v/>
      </c>
      <c r="G82" s="259" t="s">
        <v>2317</v>
      </c>
      <c r="J82" s="4">
        <v>60</v>
      </c>
      <c r="K82" s="20" t="s">
        <v>2317</v>
      </c>
      <c r="L82" s="4">
        <v>232</v>
      </c>
      <c r="M82" s="21" t="str">
        <f>HYPERLINK("obsidian://open?vault=o2&amp;file=2025-04-03.md","2025-04-03")</f>
        <v>2025-04-03</v>
      </c>
      <c r="N82" s="11" t="s">
        <v>175</v>
      </c>
      <c r="O82" s="21" t="str">
        <f>HYPERLINK("obsidian://open?vault=o2&amp;file=Open%20Task%20Review.md","Open Task Review")</f>
        <v>Open Task Review</v>
      </c>
      <c r="P82" s="11" t="s">
        <v>175</v>
      </c>
      <c r="Q82" s="21" t="str">
        <f>HYPERLINK("obsidian://open?vault=o2&amp;file=How%20to%20Kill%20Ants%20Using%20Borax.md","How to Kill Ants Using Borax")</f>
        <v>How to Kill Ants Using Borax</v>
      </c>
      <c r="R82" s="11" t="s">
        <v>175</v>
      </c>
      <c r="S82" s="21" t="str">
        <f>HYPERLINK("obsidian://open?vault=o2&amp;file=2022-12-09.md","2022-12-09")</f>
        <v>2022-12-09</v>
      </c>
      <c r="T82" s="11" t="s">
        <v>175</v>
      </c>
      <c r="U82" s="21" t="str">
        <f>HYPERLINK("obsidian://open?vault=o2&amp;file=2022-12-25.md","2022-12-25")</f>
        <v>2022-12-25</v>
      </c>
      <c r="V82" s="11" t="s">
        <v>175</v>
      </c>
      <c r="W82" s="21" t="str">
        <f>HYPERLINK("obsidian://open?vault=o2&amp;file=2023-01-16.md","2023-01-16")</f>
        <v>2023-01-16</v>
      </c>
      <c r="X82" s="11" t="s">
        <v>175</v>
      </c>
      <c r="Y82" s="21" t="str">
        <f>HYPERLINK("obsidian://open?vault=o2&amp;file=2023-01-19.md","2023-01-19")</f>
        <v>2023-01-19</v>
      </c>
      <c r="Z82" s="11" t="s">
        <v>175</v>
      </c>
      <c r="AA82" s="21" t="str">
        <f>HYPERLINK("obsidian://open?vault=o2&amp;file=2023-01-22.md","2023-01-22")</f>
        <v>2023-01-22</v>
      </c>
      <c r="AB82" s="11" t="s">
        <v>175</v>
      </c>
      <c r="AC82" s="21" t="str">
        <f>HYPERLINK("obsidian://open?vault=o2&amp;file=2023-01-24.md","2023-01-24")</f>
        <v>2023-01-24</v>
      </c>
      <c r="AD82" s="11" t="s">
        <v>175</v>
      </c>
      <c r="AE82" s="21" t="str">
        <f>HYPERLINK("obsidian://open?vault=o2&amp;file=2023-01-25.md","2023-01-25")</f>
        <v>2023-01-25</v>
      </c>
      <c r="AF82" s="11">
        <f>SUBTOTAL(3,_xlfn.SINGLE(tbl_tags[RowId]))</f>
        <v>1</v>
      </c>
    </row>
    <row r="83" spans="5:32">
      <c r="E83" t="str">
        <f>IF(G83&lt;&gt;tbl_tags[[#This Row],[Tags]],"X","")</f>
        <v/>
      </c>
      <c r="G83" s="258" t="s">
        <v>2318</v>
      </c>
      <c r="J83" s="4">
        <v>61</v>
      </c>
      <c r="K83" s="20" t="s">
        <v>2318</v>
      </c>
      <c r="L83" s="4">
        <v>1</v>
      </c>
      <c r="M83" s="21" t="str">
        <f>HYPERLINK("obsidian://open?vault=o2&amp;file=Setup%20Servarr.md","Setup Servarr")</f>
        <v>Setup Servarr</v>
      </c>
      <c r="N83" s="11" t="s">
        <v>175</v>
      </c>
      <c r="AF83" s="11">
        <f>SUBTOTAL(3,_xlfn.SINGLE(tbl_tags[RowId]))</f>
        <v>1</v>
      </c>
    </row>
    <row r="84" spans="5:32">
      <c r="E84" t="str">
        <f>IF(G84&lt;&gt;tbl_tags[[#This Row],[Tags]],"X","")</f>
        <v/>
      </c>
      <c r="G84" s="259" t="s">
        <v>2319</v>
      </c>
      <c r="J84" s="4">
        <v>62</v>
      </c>
      <c r="K84" s="20" t="s">
        <v>2319</v>
      </c>
      <c r="L84" s="4">
        <v>11</v>
      </c>
      <c r="M84" s="21" t="str">
        <f>HYPERLINK("obsidian://open?vault=o2&amp;file=see%20people.md","see people")</f>
        <v>see people</v>
      </c>
      <c r="N84" s="11" t="s">
        <v>175</v>
      </c>
      <c r="O84" s="21" t="str">
        <f>HYPERLINK("obsidian://open?vault=o2&amp;file=Vault%20Overview.md","Vault Overview")</f>
        <v>Vault Overview</v>
      </c>
      <c r="P84" s="11" t="s">
        <v>175</v>
      </c>
      <c r="Q84" s="21" t="str">
        <f>HYPERLINK("obsidian://open?vault=o2&amp;file=_start_here.md","_start_here")</f>
        <v>_start_here</v>
      </c>
      <c r="R84" s="11" t="s">
        <v>175</v>
      </c>
      <c r="S84" s="21" t="str">
        <f>HYPERLINK("obsidian://open?vault=o2&amp;file=%E2%99%BB%EF%B8%8F%20My%20Habits.md","♻️ My Habits")</f>
        <v>♻️ My Habits</v>
      </c>
      <c r="T84" s="11" t="s">
        <v>175</v>
      </c>
      <c r="U84" s="21" t="str">
        <f>HYPERLINK("obsidian://open?vault=o2&amp;file=%E2%9A%92%EF%B8%8F%20Orphans.md","⚒️ Orphans")</f>
        <v>⚒️ Orphans</v>
      </c>
      <c r="V84" s="11" t="s">
        <v>175</v>
      </c>
      <c r="W84" s="21" t="str">
        <f>HYPERLINK("obsidian://open?vault=o2&amp;file=Dataview%20Toolkit%20by%20Paul%20Dickson%20SubVault.md","Dataview Toolkit by Paul Dickson SubVault")</f>
        <v>Dataview Toolkit by Paul Dickson SubVault</v>
      </c>
      <c r="X84" s="11" t="s">
        <v>175</v>
      </c>
      <c r="Y84" s="21" t="str">
        <f>HYPERLINK("obsidian://open?vault=o2&amp;file=Persons%20Database%20Research.md","Persons Database Research")</f>
        <v>Persons Database Research</v>
      </c>
      <c r="Z84" s="11" t="s">
        <v>175</v>
      </c>
      <c r="AA84" s="21" t="str">
        <f>HYPERLINK("obsidian://open?vault=o2&amp;file=DV%20Directory%20Lists.md","DV Directory Lists")</f>
        <v>DV Directory Lists</v>
      </c>
      <c r="AB84" s="11" t="s">
        <v>175</v>
      </c>
      <c r="AC84" s="21" t="str">
        <f>HYPERLINK("obsidian://open?vault=o2&amp;file=Paul%20D%20Directory%20Template%20Test.md","Paul D Directory Template Test")</f>
        <v>Paul D Directory Template Test</v>
      </c>
      <c r="AD84" s="11" t="s">
        <v>175</v>
      </c>
      <c r="AE84" s="21" t="str">
        <f>HYPERLINK("obsidian://open?vault=o2&amp;file=Paul%20D%20Directory%20Template.md","Paul D Directory Template")</f>
        <v>Paul D Directory Template</v>
      </c>
      <c r="AF84" s="11">
        <f>SUBTOTAL(3,_xlfn.SINGLE(tbl_tags[RowId]))</f>
        <v>1</v>
      </c>
    </row>
    <row r="85" spans="5:32">
      <c r="E85" t="str">
        <f>IF(G85&lt;&gt;tbl_tags[[#This Row],[Tags]],"X","")</f>
        <v/>
      </c>
      <c r="G85" s="258" t="s">
        <v>27</v>
      </c>
      <c r="J85" s="4">
        <v>63</v>
      </c>
      <c r="K85" s="20" t="s">
        <v>27</v>
      </c>
      <c r="L85" s="4">
        <v>1</v>
      </c>
      <c r="M85" s="21" t="str">
        <f>HYPERLINK("obsidian://open?vault=o2&amp;file=Templater%20Cheat%20Sheet.md","Templater Cheat Sheet")</f>
        <v>Templater Cheat Sheet</v>
      </c>
      <c r="N85" s="11" t="s">
        <v>175</v>
      </c>
      <c r="AF85" s="11">
        <f>SUBTOTAL(3,_xlfn.SINGLE(tbl_tags[RowId]))</f>
        <v>1</v>
      </c>
    </row>
    <row r="86" spans="5:32">
      <c r="E86" t="str">
        <f>IF(G86&lt;&gt;tbl_tags[[#This Row],[Tags]],"X","")</f>
        <v/>
      </c>
      <c r="G86" s="259" t="s">
        <v>2320</v>
      </c>
      <c r="J86" s="4">
        <v>64</v>
      </c>
      <c r="K86" s="20" t="s">
        <v>2320</v>
      </c>
      <c r="L86" s="4">
        <v>1</v>
      </c>
      <c r="M86" s="21" t="str">
        <f>HYPERLINK("obsidian://open?vault=o2&amp;file=Setup%20DDNS%20on%20Cloudflare.md","Setup DDNS on Cloudflare")</f>
        <v>Setup DDNS on Cloudflare</v>
      </c>
      <c r="N86" s="11" t="s">
        <v>175</v>
      </c>
      <c r="AF86" s="11">
        <f>SUBTOTAL(3,_xlfn.SINGLE(tbl_tags[RowId]))</f>
        <v>1</v>
      </c>
    </row>
    <row r="87" spans="5:32">
      <c r="E87" t="str">
        <f>IF(G87&lt;&gt;tbl_tags[[#This Row],[Tags]],"X","")</f>
        <v/>
      </c>
      <c r="G87" s="258" t="s">
        <v>711</v>
      </c>
      <c r="J87" s="4">
        <v>65</v>
      </c>
      <c r="K87" s="20" t="s">
        <v>711</v>
      </c>
      <c r="L87" s="4">
        <v>2</v>
      </c>
      <c r="M87" s="21" t="str">
        <f>HYPERLINK("obsidian://open?vault=o2&amp;file=The%20usermod%20command.md","The usermod command")</f>
        <v>The usermod command</v>
      </c>
      <c r="N87" s="11" t="s">
        <v>175</v>
      </c>
      <c r="O87" s="21" t="str">
        <f>HYPERLINK("obsidian://open?vault=o2&amp;file=%E2%9A%A1%20CasaOS%20Project.md","⚡ CasaOS Project")</f>
        <v>⚡ CasaOS Project</v>
      </c>
      <c r="P87" s="11" t="s">
        <v>175</v>
      </c>
      <c r="AF87" s="11">
        <f>SUBTOTAL(3,_xlfn.SINGLE(tbl_tags[RowId]))</f>
        <v>1</v>
      </c>
    </row>
    <row r="88" spans="5:32">
      <c r="E88" t="str">
        <f>IF(G88&lt;&gt;tbl_tags[[#This Row],[Tags]],"X","")</f>
        <v/>
      </c>
      <c r="G88" s="259" t="s">
        <v>2321</v>
      </c>
      <c r="J88" s="4">
        <v>66</v>
      </c>
      <c r="K88" s="20" t="s">
        <v>2321</v>
      </c>
      <c r="L88" s="4">
        <v>1</v>
      </c>
      <c r="M88" s="21" t="str">
        <f>HYPERLINK("obsidian://open?vault=o2&amp;file=Setup%20Servarr.md","Setup Servarr")</f>
        <v>Setup Servarr</v>
      </c>
      <c r="N88" s="11" t="s">
        <v>175</v>
      </c>
      <c r="AF88" s="11">
        <f>SUBTOTAL(3,_xlfn.SINGLE(tbl_tags[RowId]))</f>
        <v>1</v>
      </c>
    </row>
    <row r="89" spans="5:32">
      <c r="E89" t="str">
        <f>IF(G89&lt;&gt;tbl_tags[[#This Row],[Tags]],"X","")</f>
        <v/>
      </c>
      <c r="G89" s="258" t="s">
        <v>2322</v>
      </c>
      <c r="J89" s="4">
        <v>67</v>
      </c>
      <c r="K89" s="20" t="s">
        <v>2322</v>
      </c>
      <c r="L89" s="4">
        <v>1</v>
      </c>
      <c r="M89" s="21" t="str">
        <f>HYPERLINK("obsidian://open?vault=o2&amp;file=Research%20Cable%20Management.md","Research Cable Management")</f>
        <v>Research Cable Management</v>
      </c>
      <c r="N89" s="11" t="s">
        <v>175</v>
      </c>
      <c r="AF89" s="11">
        <f>SUBTOTAL(3,_xlfn.SINGLE(tbl_tags[RowId]))</f>
        <v>1</v>
      </c>
    </row>
    <row r="90" spans="5:32">
      <c r="E90" t="str">
        <f>IF(G90&lt;&gt;tbl_tags[[#This Row],[Tags]],"X","")</f>
        <v/>
      </c>
      <c r="G90" s="259" t="s">
        <v>2323</v>
      </c>
      <c r="J90" s="4">
        <v>68</v>
      </c>
      <c r="K90" s="20" t="s">
        <v>2323</v>
      </c>
      <c r="L90" s="4">
        <v>1</v>
      </c>
      <c r="M90" s="21" t="str">
        <f>HYPERLINK("obsidian://open?vault=o2&amp;file=Research%20Desk%20Lighting.md","Research Desk Lighting")</f>
        <v>Research Desk Lighting</v>
      </c>
      <c r="N90" s="11" t="s">
        <v>175</v>
      </c>
      <c r="AF90" s="11">
        <f>SUBTOTAL(3,_xlfn.SINGLE(tbl_tags[RowId]))</f>
        <v>1</v>
      </c>
    </row>
    <row r="91" spans="5:32">
      <c r="E91" t="str">
        <f>IF(G91&lt;&gt;tbl_tags[[#This Row],[Tags]],"X","")</f>
        <v/>
      </c>
      <c r="G91" s="258" t="s">
        <v>2324</v>
      </c>
      <c r="J91" s="4">
        <v>69</v>
      </c>
      <c r="K91" s="20" t="s">
        <v>2324</v>
      </c>
      <c r="L91" s="4">
        <v>1</v>
      </c>
      <c r="M91" s="21" t="str">
        <f>HYPERLINK("obsidian://open?vault=o2&amp;file=Research%20Cable%20Management.md","Research Cable Management")</f>
        <v>Research Cable Management</v>
      </c>
      <c r="N91" s="11" t="s">
        <v>175</v>
      </c>
      <c r="AF91" s="11">
        <f>SUBTOTAL(3,_xlfn.SINGLE(tbl_tags[RowId]))</f>
        <v>1</v>
      </c>
    </row>
    <row r="92" spans="5:32">
      <c r="E92" t="str">
        <f>IF(G92&lt;&gt;tbl_tags[[#This Row],[Tags]],"X","")</f>
        <v/>
      </c>
      <c r="G92" s="259" t="s">
        <v>2325</v>
      </c>
      <c r="J92" s="4">
        <v>70</v>
      </c>
      <c r="K92" s="20" t="s">
        <v>2325</v>
      </c>
      <c r="L92" s="4">
        <v>5</v>
      </c>
      <c r="M92" s="21" t="str">
        <f>HYPERLINK("obsidian://open?vault=o2&amp;file=Secure%20Remote%20Access.md","Secure Remote Access")</f>
        <v>Secure Remote Access</v>
      </c>
      <c r="N92" s="11" t="s">
        <v>175</v>
      </c>
      <c r="O92" s="21" t="str">
        <f>HYPERLINK("obsidian://open?vault=o2&amp;file=Setup%20Cloudflare.md","Setup Cloudflare")</f>
        <v>Setup Cloudflare</v>
      </c>
      <c r="P92" s="11" t="s">
        <v>175</v>
      </c>
      <c r="Q92" s="21" t="str">
        <f>HYPERLINK("obsidian://open?vault=o2&amp;file=Setup%20DDNS-go.md","Setup DDNS-go")</f>
        <v>Setup DDNS-go</v>
      </c>
      <c r="R92" s="11" t="s">
        <v>175</v>
      </c>
      <c r="S92" s="21" t="str">
        <f>HYPERLINK("obsidian://open?vault=o2&amp;file=Setup%20DDNS%20on%20Cloudflare.md","Setup DDNS on Cloudflare")</f>
        <v>Setup DDNS on Cloudflare</v>
      </c>
      <c r="T92" s="11" t="s">
        <v>175</v>
      </c>
      <c r="U92" s="21" t="str">
        <f>HYPERLINK("obsidian://open?vault=o2&amp;file=Setup%20DuckDNS%20and%20ACME%20DNS-01.md","Setup DuckDNS and ACME DNS-01")</f>
        <v>Setup DuckDNS and ACME DNS-01</v>
      </c>
      <c r="V92" s="11" t="s">
        <v>175</v>
      </c>
      <c r="AF92" s="11">
        <f>SUBTOTAL(3,_xlfn.SINGLE(tbl_tags[RowId]))</f>
        <v>1</v>
      </c>
    </row>
    <row r="93" spans="5:32">
      <c r="E93" t="str">
        <f>IF(G93&lt;&gt;tbl_tags[[#This Row],[Tags]],"X","")</f>
        <v/>
      </c>
      <c r="G93" s="258" t="s">
        <v>2326</v>
      </c>
      <c r="J93" s="4">
        <v>71</v>
      </c>
      <c r="K93" s="20" t="s">
        <v>2326</v>
      </c>
      <c r="L93" s="4">
        <v>1</v>
      </c>
      <c r="M93" s="21" t="str">
        <f>HYPERLINK("obsidian://open?vault=o2&amp;file=Python%20Style%20Guide.md","Python Style Guide")</f>
        <v>Python Style Guide</v>
      </c>
      <c r="N93" s="11" t="s">
        <v>175</v>
      </c>
      <c r="AF93" s="11">
        <f>SUBTOTAL(3,_xlfn.SINGLE(tbl_tags[RowId]))</f>
        <v>1</v>
      </c>
    </row>
    <row r="94" spans="5:32">
      <c r="E94" t="str">
        <f>IF(G94&lt;&gt;tbl_tags[[#This Row],[Tags]],"X","")</f>
        <v/>
      </c>
      <c r="G94" s="259" t="s">
        <v>2327</v>
      </c>
      <c r="J94" s="4">
        <v>72</v>
      </c>
      <c r="K94" s="20" t="s">
        <v>2327</v>
      </c>
      <c r="L94" s="4">
        <v>3</v>
      </c>
      <c r="M94" s="21" t="str">
        <f>HYPERLINK("obsidian://open?vault=o2&amp;file=Secure%20Remote%20Access.md","Secure Remote Access")</f>
        <v>Secure Remote Access</v>
      </c>
      <c r="N94" s="11" t="s">
        <v>175</v>
      </c>
      <c r="O94" s="21" t="str">
        <f>HYPERLINK("obsidian://open?vault=o2&amp;file=Setup%20Radarr.md","Setup Radarr")</f>
        <v>Setup Radarr</v>
      </c>
      <c r="P94" s="11" t="s">
        <v>175</v>
      </c>
      <c r="Q94" s="21" t="str">
        <f>HYPERLINK("obsidian://open?vault=o2&amp;file=%E2%9A%A1%20CasaOS%20Project.md","⚡ CasaOS Project")</f>
        <v>⚡ CasaOS Project</v>
      </c>
      <c r="R94" s="11" t="s">
        <v>175</v>
      </c>
      <c r="AF94" s="11">
        <f>SUBTOTAL(3,_xlfn.SINGLE(tbl_tags[RowId]))</f>
        <v>1</v>
      </c>
    </row>
    <row r="95" spans="5:32">
      <c r="E95" t="str">
        <f>IF(G95&lt;&gt;tbl_tags[[#This Row],[Tags]],"X","")</f>
        <v/>
      </c>
      <c r="G95" s="258" t="s">
        <v>1393</v>
      </c>
      <c r="J95" s="4">
        <v>73</v>
      </c>
      <c r="K95" s="20" t="s">
        <v>1393</v>
      </c>
      <c r="L95" s="4">
        <v>1</v>
      </c>
      <c r="M95"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N95" s="11" t="s">
        <v>175</v>
      </c>
      <c r="AF95" s="11">
        <f>SUBTOTAL(3,_xlfn.SINGLE(tbl_tags[RowId]))</f>
        <v>1</v>
      </c>
    </row>
    <row r="96" spans="5:32">
      <c r="E96" t="str">
        <f>IF(G96&lt;&gt;tbl_tags[[#This Row],[Tags]],"X","")</f>
        <v/>
      </c>
      <c r="G96" s="259" t="s">
        <v>2328</v>
      </c>
      <c r="J96" s="4">
        <v>74</v>
      </c>
      <c r="K96" s="20" t="s">
        <v>2328</v>
      </c>
      <c r="L96" s="4">
        <v>2</v>
      </c>
      <c r="M96" s="21" t="str">
        <f>HYPERLINK("obsidian://open?vault=o2&amp;file=MD%20Web%20Clipper%20User%20Guide.md","MD Web Clipper User Guide")</f>
        <v>MD Web Clipper User Guide</v>
      </c>
      <c r="N96" s="11" t="s">
        <v>175</v>
      </c>
      <c r="O96" s="21" t="str">
        <f>HYPERLINK("obsidian://open?vault=o2&amp;file=How%20to%20text%20from%20your%20PC%20if%20you%20have%20an%20iPhone.md","How to text from your PC if you have an iPhone")</f>
        <v>How to text from your PC if you have an iPhone</v>
      </c>
      <c r="P96" s="11" t="s">
        <v>175</v>
      </c>
      <c r="AF96" s="11">
        <f>SUBTOTAL(3,_xlfn.SINGLE(tbl_tags[RowId]))</f>
        <v>1</v>
      </c>
    </row>
    <row r="97" spans="5:32">
      <c r="E97" t="str">
        <f>IF(G97&lt;&gt;tbl_tags[[#This Row],[Tags]],"X","")</f>
        <v/>
      </c>
      <c r="G97" s="258" t="s">
        <v>2329</v>
      </c>
      <c r="J97" s="4">
        <v>75</v>
      </c>
      <c r="K97" s="20" t="s">
        <v>2329</v>
      </c>
      <c r="L97" s="4">
        <v>1</v>
      </c>
      <c r="M97" s="21" t="str">
        <f>HYPERLINK("obsidian://open?vault=o2&amp;file=Sex%20on%20the%20Beach.md","Sex on the Beach")</f>
        <v>Sex on the Beach</v>
      </c>
      <c r="N97" s="11" t="s">
        <v>175</v>
      </c>
      <c r="AF97" s="11">
        <f>SUBTOTAL(3,_xlfn.SINGLE(tbl_tags[RowId]))</f>
        <v>1</v>
      </c>
    </row>
    <row r="98" spans="5:32">
      <c r="E98" t="str">
        <f>IF(G98&lt;&gt;tbl_tags[[#This Row],[Tags]],"X","")</f>
        <v/>
      </c>
      <c r="G98" s="259" t="s">
        <v>2330</v>
      </c>
      <c r="J98" s="4">
        <v>76</v>
      </c>
      <c r="K98" s="20" t="s">
        <v>2330</v>
      </c>
      <c r="L98" s="4">
        <v>1</v>
      </c>
      <c r="M98" s="21" t="str">
        <f>HYPERLINK("obsidian://open?vault=o2&amp;file=Templater%20Cheat%20Sheet.md","Templater Cheat Sheet")</f>
        <v>Templater Cheat Sheet</v>
      </c>
      <c r="N98" s="11" t="s">
        <v>175</v>
      </c>
      <c r="AF98" s="11">
        <f>SUBTOTAL(3,_xlfn.SINGLE(tbl_tags[RowId]))</f>
        <v>1</v>
      </c>
    </row>
    <row r="99" spans="5:32">
      <c r="E99" t="str">
        <f>IF(G99&lt;&gt;tbl_tags[[#This Row],[Tags]],"X","")</f>
        <v/>
      </c>
      <c r="G99" s="258" t="s">
        <v>2331</v>
      </c>
      <c r="J99" s="4">
        <v>77</v>
      </c>
      <c r="K99" s="20" t="s">
        <v>2331</v>
      </c>
      <c r="L99" s="4">
        <v>1</v>
      </c>
      <c r="M99" s="21" t="str">
        <f>HYPERLINK("obsidian://open?vault=o2&amp;file=Setup%20Servarr.md","Setup Servarr")</f>
        <v>Setup Servarr</v>
      </c>
      <c r="N99" s="11" t="s">
        <v>175</v>
      </c>
      <c r="AF99" s="11">
        <f>SUBTOTAL(3,_xlfn.SINGLE(tbl_tags[RowId]))</f>
        <v>1</v>
      </c>
    </row>
    <row r="100" spans="5:32">
      <c r="E100" t="str">
        <f>IF(G100&lt;&gt;tbl_tags[[#This Row],[Tags]],"X","")</f>
        <v/>
      </c>
      <c r="G100" s="259" t="s">
        <v>2332</v>
      </c>
      <c r="J100" s="4">
        <v>78</v>
      </c>
      <c r="K100" s="20" t="s">
        <v>2332</v>
      </c>
      <c r="L100" s="4">
        <v>1</v>
      </c>
      <c r="M100"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100" s="11" t="s">
        <v>175</v>
      </c>
      <c r="AF100" s="11">
        <f>SUBTOTAL(3,_xlfn.SINGLE(tbl_tags[RowId]))</f>
        <v>1</v>
      </c>
    </row>
    <row r="101" spans="5:32">
      <c r="E101" t="str">
        <f>IF(G101&lt;&gt;tbl_tags[[#This Row],[Tags]],"X","")</f>
        <v/>
      </c>
      <c r="G101" s="258" t="s">
        <v>2333</v>
      </c>
      <c r="J101" s="4">
        <v>79</v>
      </c>
      <c r="K101" s="20" t="s">
        <v>2333</v>
      </c>
      <c r="L101" s="4">
        <v>1</v>
      </c>
      <c r="M101" s="21" t="str">
        <f>HYPERLINK("obsidian://open?vault=o2&amp;file=cPanel%20Alternatives.md","cPanel Alternatives")</f>
        <v>cPanel Alternatives</v>
      </c>
      <c r="N101" s="11" t="s">
        <v>175</v>
      </c>
      <c r="AF101" s="11">
        <f>SUBTOTAL(3,_xlfn.SINGLE(tbl_tags[RowId]))</f>
        <v>1</v>
      </c>
    </row>
    <row r="102" spans="5:32">
      <c r="E102" t="str">
        <f>IF(G102&lt;&gt;tbl_tags[[#This Row],[Tags]],"X","")</f>
        <v/>
      </c>
      <c r="G102" s="259" t="s">
        <v>1407</v>
      </c>
      <c r="J102" s="4">
        <v>80</v>
      </c>
      <c r="K102" s="20" t="s">
        <v>1407</v>
      </c>
      <c r="L102" s="4">
        <v>1</v>
      </c>
      <c r="M102" s="21" t="str">
        <f>HYPERLINK("obsidian://open?vault=o2&amp;file=personsTemplate.md","personsTemplate")</f>
        <v>personsTemplate</v>
      </c>
      <c r="N102" s="11" t="s">
        <v>175</v>
      </c>
      <c r="AF102" s="11">
        <f>SUBTOTAL(3,_xlfn.SINGLE(tbl_tags[RowId]))</f>
        <v>1</v>
      </c>
    </row>
    <row r="103" spans="5:32">
      <c r="E103" t="str">
        <f>IF(G103&lt;&gt;tbl_tags[[#This Row],[Tags]],"X","")</f>
        <v/>
      </c>
      <c r="G103" s="258" t="s">
        <v>2334</v>
      </c>
      <c r="J103" s="4">
        <v>81</v>
      </c>
      <c r="K103" s="20" t="s">
        <v>2334</v>
      </c>
      <c r="L103" s="4">
        <v>1</v>
      </c>
      <c r="M103" s="21" t="str">
        <f>HYPERLINK("obsidian://open?vault=o2&amp;file=personsTemplate.md","personsTemplate")</f>
        <v>personsTemplate</v>
      </c>
      <c r="N103" s="11" t="s">
        <v>175</v>
      </c>
      <c r="AF103" s="11">
        <f>SUBTOTAL(3,_xlfn.SINGLE(tbl_tags[RowId]))</f>
        <v>1</v>
      </c>
    </row>
    <row r="104" spans="5:32">
      <c r="E104" t="str">
        <f>IF(G104&lt;&gt;tbl_tags[[#This Row],[Tags]],"X","")</f>
        <v/>
      </c>
      <c r="G104" s="259" t="s">
        <v>2335</v>
      </c>
      <c r="J104" s="4">
        <v>82</v>
      </c>
      <c r="K104" s="20" t="s">
        <v>2335</v>
      </c>
      <c r="L104" s="4">
        <v>1</v>
      </c>
      <c r="M104" s="21" t="str">
        <f>HYPERLINK("obsidian://open?vault=o2&amp;file=Evergreen%20Notes%20as%20Defined%20by%20Andy.md","Evergreen Notes as Defined by Andy")</f>
        <v>Evergreen Notes as Defined by Andy</v>
      </c>
      <c r="N104" s="11" t="s">
        <v>175</v>
      </c>
      <c r="AF104" s="11">
        <f>SUBTOTAL(3,_xlfn.SINGLE(tbl_tags[RowId]))</f>
        <v>1</v>
      </c>
    </row>
    <row r="105" spans="5:32">
      <c r="E105" t="str">
        <f>IF(G105&lt;&gt;tbl_tags[[#This Row],[Tags]],"X","")</f>
        <v/>
      </c>
      <c r="G105" s="258" t="s">
        <v>2336</v>
      </c>
      <c r="J105" s="4">
        <v>83</v>
      </c>
      <c r="K105" s="20" t="s">
        <v>2336</v>
      </c>
      <c r="L105" s="4">
        <v>1</v>
      </c>
      <c r="M105"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105" s="11" t="s">
        <v>175</v>
      </c>
      <c r="AF105" s="11">
        <f>SUBTOTAL(3,_xlfn.SINGLE(tbl_tags[RowId]))</f>
        <v>1</v>
      </c>
    </row>
    <row r="106" spans="5:32">
      <c r="E106" t="str">
        <f>IF(G106&lt;&gt;tbl_tags[[#This Row],[Tags]],"X","")</f>
        <v/>
      </c>
      <c r="G106" s="259" t="s">
        <v>780</v>
      </c>
      <c r="J106" s="4">
        <v>84</v>
      </c>
      <c r="K106" s="20" t="s">
        <v>780</v>
      </c>
      <c r="L106" s="4">
        <v>1</v>
      </c>
      <c r="M106" s="21" t="str">
        <f>HYPERLINK("obsidian://open?vault=o2&amp;file=VBA%20Script%20to%20Load%20Folder%20images%20into%20Excel.md","VBA Script to Load Folder images into Excel")</f>
        <v>VBA Script to Load Folder images into Excel</v>
      </c>
      <c r="N106" s="11" t="s">
        <v>175</v>
      </c>
      <c r="AF106" s="11">
        <f>SUBTOTAL(3,_xlfn.SINGLE(tbl_tags[RowId]))</f>
        <v>1</v>
      </c>
    </row>
    <row r="107" spans="5:32">
      <c r="E107" t="str">
        <f>IF(G107&lt;&gt;tbl_tags[[#This Row],[Tags]],"X","")</f>
        <v/>
      </c>
      <c r="G107" s="258" t="s">
        <v>2337</v>
      </c>
      <c r="J107" s="4">
        <v>85</v>
      </c>
      <c r="K107" s="20" t="s">
        <v>2337</v>
      </c>
      <c r="L107" s="4">
        <v>1</v>
      </c>
      <c r="M107" s="21" t="str">
        <f>HYPERLINK("obsidian://open?vault=o2&amp;file=Templater%20Cheat%20Sheet.md","Templater Cheat Sheet")</f>
        <v>Templater Cheat Sheet</v>
      </c>
      <c r="N107" s="11" t="s">
        <v>175</v>
      </c>
      <c r="AF107" s="11">
        <f>SUBTOTAL(3,_xlfn.SINGLE(tbl_tags[RowId]))</f>
        <v>1</v>
      </c>
    </row>
    <row r="108" spans="5:32">
      <c r="E108" t="str">
        <f>IF(G108&lt;&gt;tbl_tags[[#This Row],[Tags]],"X","")</f>
        <v/>
      </c>
      <c r="G108" s="259" t="s">
        <v>2338</v>
      </c>
      <c r="J108" s="4">
        <v>86</v>
      </c>
      <c r="K108" s="20" t="s">
        <v>2338</v>
      </c>
      <c r="L108" s="4">
        <v>1</v>
      </c>
      <c r="M108" s="21" t="str">
        <f>HYPERLINK("obsidian://open?vault=o2&amp;file=17%20Habits%20of%20the%20Self-Destructive%20Person%20%28%2B%20How%20to%20Stop%29.md","17 Habits of the Self-Destructive Person (+ How to Stop)")</f>
        <v>17 Habits of the Self-Destructive Person (+ How to Stop)</v>
      </c>
      <c r="N108" s="11" t="s">
        <v>175</v>
      </c>
      <c r="AF108" s="11">
        <f>SUBTOTAL(3,_xlfn.SINGLE(tbl_tags[RowId]))</f>
        <v>1</v>
      </c>
    </row>
    <row r="109" spans="5:32">
      <c r="E109" t="str">
        <f>IF(G109&lt;&gt;tbl_tags[[#This Row],[Tags]],"X","")</f>
        <v/>
      </c>
      <c r="G109" s="258" t="s">
        <v>2339</v>
      </c>
      <c r="J109" s="4">
        <v>87</v>
      </c>
      <c r="K109" s="20" t="s">
        <v>2339</v>
      </c>
      <c r="L109" s="4">
        <v>1</v>
      </c>
      <c r="M109" s="21" t="str">
        <f>HYPERLINK("obsidian://open?vault=o2&amp;file=Managing%20inputs.md","Managing inputs")</f>
        <v>Managing inputs</v>
      </c>
      <c r="N109" s="11" t="s">
        <v>175</v>
      </c>
      <c r="AF109" s="11">
        <f>SUBTOTAL(3,_xlfn.SINGLE(tbl_tags[RowId]))</f>
        <v>1</v>
      </c>
    </row>
    <row r="110" spans="5:32">
      <c r="E110" t="str">
        <f>IF(G110&lt;&gt;tbl_tags[[#This Row],[Tags]],"X","")</f>
        <v/>
      </c>
      <c r="G110" s="259" t="s">
        <v>1328</v>
      </c>
      <c r="J110" s="4">
        <v>88</v>
      </c>
      <c r="K110" s="20" t="s">
        <v>1328</v>
      </c>
      <c r="L110" s="4">
        <v>1</v>
      </c>
      <c r="M110" s="21" t="str">
        <f>HYPERLINK("obsidian://open?vault=o2&amp;file=Templater%20Cheat%20Sheet.md","Templater Cheat Sheet")</f>
        <v>Templater Cheat Sheet</v>
      </c>
      <c r="N110" s="11" t="s">
        <v>175</v>
      </c>
      <c r="AF110" s="11">
        <f>SUBTOTAL(3,_xlfn.SINGLE(tbl_tags[RowId]))</f>
        <v>1</v>
      </c>
    </row>
    <row r="111" spans="5:32">
      <c r="E111" t="str">
        <f>IF(G111&lt;&gt;tbl_tags[[#This Row],[Tags]],"X","")</f>
        <v/>
      </c>
      <c r="G111" s="258" t="s">
        <v>2340</v>
      </c>
      <c r="J111" s="4">
        <v>89</v>
      </c>
      <c r="K111" s="20" t="s">
        <v>2340</v>
      </c>
      <c r="L111" s="4">
        <v>4</v>
      </c>
      <c r="M111" s="21" t="str">
        <f>HYPERLINK("obsidian://open?vault=o2&amp;file=Memberships%20and%20Rewards.md","Memberships and Rewards")</f>
        <v>Memberships and Rewards</v>
      </c>
      <c r="N111" s="11" t="s">
        <v>175</v>
      </c>
      <c r="O111" s="21" t="str">
        <f>HYPERLINK("obsidian://open?vault=o2&amp;file=Money%20Moves%20for%202023.md","Money Moves for 2023")</f>
        <v>Money Moves for 2023</v>
      </c>
      <c r="P111" s="11" t="s">
        <v>175</v>
      </c>
      <c r="Q111" s="21" t="str">
        <f>HYPERLINK("obsidian://open?vault=o2&amp;file=Setup%20Servarr.md","Setup Servarr")</f>
        <v>Setup Servarr</v>
      </c>
      <c r="R111" s="11" t="s">
        <v>175</v>
      </c>
      <c r="S111" s="21" t="str">
        <f>HYPERLINK("obsidian://open?vault=o2&amp;file=Streaming%20Bundles.md","Streaming Bundles")</f>
        <v>Streaming Bundles</v>
      </c>
      <c r="T111" s="11" t="s">
        <v>175</v>
      </c>
      <c r="AF111" s="11">
        <f>SUBTOTAL(3,_xlfn.SINGLE(tbl_tags[RowId]))</f>
        <v>1</v>
      </c>
    </row>
    <row r="112" spans="5:32">
      <c r="E112" t="str">
        <f>IF(G112&lt;&gt;tbl_tags[[#This Row],[Tags]],"X","")</f>
        <v/>
      </c>
      <c r="G112" s="259" t="s">
        <v>2341</v>
      </c>
      <c r="J112" s="4">
        <v>90</v>
      </c>
      <c r="K112" s="20" t="s">
        <v>2341</v>
      </c>
      <c r="L112" s="4">
        <v>2</v>
      </c>
      <c r="M112" s="21" t="str">
        <f>HYPERLINK("obsidian://open?vault=o2&amp;file=Windows%2010%20and%2011%20Wont%20Boot%2C%20How%20To%20Fix%20UEFI%20Partition.md","Windows 10 and 11 Wont Boot, How To Fix UEFI Partition")</f>
        <v>Windows 10 and 11 Wont Boot, How To Fix UEFI Partition</v>
      </c>
      <c r="N112" s="11" t="s">
        <v>175</v>
      </c>
      <c r="O112" s="21" t="str">
        <f>HYPERLINK("obsidian://open?vault=o2&amp;file=Mouse%20Cursor%20Freezing%20Issue.md","Mouse Cursor Freezing Issue")</f>
        <v>Mouse Cursor Freezing Issue</v>
      </c>
      <c r="P112" s="11" t="s">
        <v>175</v>
      </c>
      <c r="AF112" s="11">
        <f>SUBTOTAL(3,_xlfn.SINGLE(tbl_tags[RowId]))</f>
        <v>1</v>
      </c>
    </row>
    <row r="113" spans="5:32">
      <c r="E113" t="str">
        <f>IF(G113&lt;&gt;tbl_tags[[#This Row],[Tags]],"X","")</f>
        <v/>
      </c>
      <c r="G113" s="258" t="s">
        <v>2342</v>
      </c>
      <c r="J113" s="4">
        <v>91</v>
      </c>
      <c r="K113" s="20" t="s">
        <v>2342</v>
      </c>
      <c r="L113" s="4">
        <v>3</v>
      </c>
      <c r="M113" s="21" t="str">
        <f>HYPERLINK("obsidian://open?vault=o2&amp;file=Latest%20Network%20Mappings.md","Latest Network Mappings")</f>
        <v>Latest Network Mappings</v>
      </c>
      <c r="N113" s="11" t="s">
        <v>175</v>
      </c>
      <c r="O113" s="21" t="str">
        <f>HYPERLINK("obsidian://open?vault=o2&amp;file=Port%20Forwarding%20on%20Xfinity.md","Port Forwarding on Xfinity")</f>
        <v>Port Forwarding on Xfinity</v>
      </c>
      <c r="P113" s="11" t="s">
        <v>175</v>
      </c>
      <c r="Q113" s="21" t="str">
        <f>HYPERLINK("obsidian://open?vault=o2&amp;file=Secure%20Remote%20Access.md","Secure Remote Access")</f>
        <v>Secure Remote Access</v>
      </c>
      <c r="R113" s="11" t="s">
        <v>175</v>
      </c>
      <c r="AF113" s="11">
        <f>SUBTOTAL(3,_xlfn.SINGLE(tbl_tags[RowId]))</f>
        <v>1</v>
      </c>
    </row>
    <row r="114" spans="5:32">
      <c r="E114" t="str">
        <f>IF(G114&lt;&gt;tbl_tags[[#This Row],[Tags]],"X","")</f>
        <v/>
      </c>
      <c r="G114" s="259" t="s">
        <v>2343</v>
      </c>
      <c r="J114" s="4">
        <v>92</v>
      </c>
      <c r="K114" s="20" t="s">
        <v>2343</v>
      </c>
      <c r="L114" s="4">
        <v>1</v>
      </c>
      <c r="M114" s="21" t="str">
        <f>HYPERLINK("obsidian://open?vault=o2&amp;file=22%20FREE%20Windows%20Utilities%20EVERY%20User%20MUST%20Know%20About%21.md","22 FREE Windows Utilities EVERY User MUST Know About!")</f>
        <v>22 FREE Windows Utilities EVERY User MUST Know About!</v>
      </c>
      <c r="N114" s="11" t="s">
        <v>175</v>
      </c>
      <c r="AF114" s="11">
        <f>SUBTOTAL(3,_xlfn.SINGLE(tbl_tags[RowId]))</f>
        <v>1</v>
      </c>
    </row>
    <row r="115" spans="5:32">
      <c r="E115" t="str">
        <f>IF(G115&lt;&gt;tbl_tags[[#This Row],[Tags]],"X","")</f>
        <v/>
      </c>
      <c r="G115" s="258" t="s">
        <v>2344</v>
      </c>
      <c r="J115" s="4">
        <v>93</v>
      </c>
      <c r="K115" s="20" t="s">
        <v>2344</v>
      </c>
      <c r="L115" s="4">
        <v>1</v>
      </c>
      <c r="M115" s="21" t="str">
        <f>HYPERLINK("obsidian://open?vault=o2&amp;file=Python%20Style%20Guide.md","Python Style Guide")</f>
        <v>Python Style Guide</v>
      </c>
      <c r="N115" s="11" t="s">
        <v>175</v>
      </c>
      <c r="AF115" s="11">
        <f>SUBTOTAL(3,_xlfn.SINGLE(tbl_tags[RowId]))</f>
        <v>1</v>
      </c>
    </row>
    <row r="116" spans="5:32">
      <c r="E116" t="str">
        <f>IF(G116&lt;&gt;tbl_tags[[#This Row],[Tags]],"X","")</f>
        <v/>
      </c>
      <c r="G116" s="259" t="s">
        <v>2345</v>
      </c>
      <c r="J116" s="4">
        <v>94</v>
      </c>
      <c r="K116" s="20" t="s">
        <v>2345</v>
      </c>
      <c r="L116" s="4">
        <v>1</v>
      </c>
      <c r="M116" s="21" t="str">
        <f>HYPERLINK("obsidian://open?vault=o2&amp;file=MD%20Web%20Clipper%20User%20Guide.md","MD Web Clipper User Guide")</f>
        <v>MD Web Clipper User Guide</v>
      </c>
      <c r="N116" s="11" t="s">
        <v>175</v>
      </c>
      <c r="AF116" s="11">
        <f>SUBTOTAL(3,_xlfn.SINGLE(tbl_tags[RowId]))</f>
        <v>1</v>
      </c>
    </row>
    <row r="117" spans="5:32">
      <c r="E117" t="str">
        <f>IF(G117&lt;&gt;tbl_tags[[#This Row],[Tags]],"X","")</f>
        <v/>
      </c>
      <c r="G117" s="258" t="s">
        <v>2346</v>
      </c>
      <c r="J117" s="4">
        <v>95</v>
      </c>
      <c r="K117" s="20" t="s">
        <v>2346</v>
      </c>
      <c r="L117" s="4">
        <v>1</v>
      </c>
      <c r="M117" s="21" t="str">
        <f>HYPERLINK("obsidian://open?vault=o2&amp;file=Templater%20Cheat%20Sheet.md","Templater Cheat Sheet")</f>
        <v>Templater Cheat Sheet</v>
      </c>
      <c r="N117" s="11" t="s">
        <v>175</v>
      </c>
      <c r="AF117" s="11">
        <f>SUBTOTAL(3,_xlfn.SINGLE(tbl_tags[RowId]))</f>
        <v>1</v>
      </c>
    </row>
    <row r="118" spans="5:32">
      <c r="E118" t="str">
        <f>IF(G118&lt;&gt;tbl_tags[[#This Row],[Tags]],"X","")</f>
        <v/>
      </c>
      <c r="G118" s="259" t="s">
        <v>2347</v>
      </c>
      <c r="J118" s="4">
        <v>96</v>
      </c>
      <c r="K118" s="20" t="s">
        <v>2347</v>
      </c>
      <c r="L118" s="4">
        <v>1</v>
      </c>
      <c r="M118" s="21" t="str">
        <f>HYPERLINK("obsidian://open?vault=o2&amp;file=Templater%20Cheat%20Sheet.md","Templater Cheat Sheet")</f>
        <v>Templater Cheat Sheet</v>
      </c>
      <c r="N118" s="11" t="s">
        <v>175</v>
      </c>
      <c r="AF118" s="11">
        <f>SUBTOTAL(3,_xlfn.SINGLE(tbl_tags[RowId]))</f>
        <v>1</v>
      </c>
    </row>
    <row r="119" spans="5:32">
      <c r="E119" t="str">
        <f>IF(G119&lt;&gt;tbl_tags[[#This Row],[Tags]],"X","")</f>
        <v/>
      </c>
      <c r="G119" s="258" t="s">
        <v>2348</v>
      </c>
      <c r="J119" s="4">
        <v>97</v>
      </c>
      <c r="K119" s="20" t="s">
        <v>2348</v>
      </c>
      <c r="L119" s="4">
        <v>1</v>
      </c>
      <c r="M119" s="21" t="str">
        <f>HYPERLINK("obsidian://open?vault=o2&amp;file=Templater%20Cheat%20Sheet.md","Templater Cheat Sheet")</f>
        <v>Templater Cheat Sheet</v>
      </c>
      <c r="N119" s="11" t="s">
        <v>175</v>
      </c>
      <c r="AF119" s="11">
        <f>SUBTOTAL(3,_xlfn.SINGLE(tbl_tags[RowId]))</f>
        <v>1</v>
      </c>
    </row>
    <row r="120" spans="5:32">
      <c r="E120" t="str">
        <f>IF(G120&lt;&gt;tbl_tags[[#This Row],[Tags]],"X","")</f>
        <v/>
      </c>
      <c r="G120" s="259" t="s">
        <v>2349</v>
      </c>
      <c r="J120" s="4">
        <v>98</v>
      </c>
      <c r="K120" s="20" t="s">
        <v>2349</v>
      </c>
      <c r="L120" s="4">
        <v>1</v>
      </c>
      <c r="M120" s="21" t="str">
        <f>HYPERLINK("obsidian://open?vault=o2&amp;file=Search%20and%20Replace%20in%20Vim.md","Search and Replace in Vim")</f>
        <v>Search and Replace in Vim</v>
      </c>
      <c r="N120" s="11" t="s">
        <v>175</v>
      </c>
      <c r="AF120" s="11">
        <f>SUBTOTAL(3,_xlfn.SINGLE(tbl_tags[RowId]))</f>
        <v>1</v>
      </c>
    </row>
    <row r="121" spans="5:32">
      <c r="E121" t="str">
        <f>IF(G121&lt;&gt;tbl_tags[[#This Row],[Tags]],"X","")</f>
        <v/>
      </c>
      <c r="G121" s="258" t="s">
        <v>2350</v>
      </c>
      <c r="J121" s="4">
        <v>99</v>
      </c>
      <c r="K121" s="20" t="s">
        <v>2350</v>
      </c>
      <c r="L121" s="4">
        <v>1</v>
      </c>
      <c r="M121" s="21" t="str">
        <f>HYPERLINK("obsidian://open?vault=o2&amp;file=Set%20Up%20and%20Secure%20a%20Compute%20Instance.md","Set Up and Secure a Compute Instance")</f>
        <v>Set Up and Secure a Compute Instance</v>
      </c>
      <c r="N121" s="11" t="s">
        <v>175</v>
      </c>
      <c r="AF121" s="11">
        <f>SUBTOTAL(3,_xlfn.SINGLE(tbl_tags[RowId]))</f>
        <v>1</v>
      </c>
    </row>
    <row r="122" spans="5:32">
      <c r="E122" t="str">
        <f>IF(G122&lt;&gt;tbl_tags[[#This Row],[Tags]],"X","")</f>
        <v/>
      </c>
      <c r="G122" s="259" t="s">
        <v>2351</v>
      </c>
      <c r="J122" s="4">
        <v>100</v>
      </c>
      <c r="K122" s="20" t="s">
        <v>2351</v>
      </c>
      <c r="L122" s="4">
        <v>1</v>
      </c>
      <c r="M122" s="21" t="str">
        <f>HYPERLINK("obsidian://open?vault=o2&amp;file=Python%20Style%20Guide.md","Python Style Guide")</f>
        <v>Python Style Guide</v>
      </c>
      <c r="N122" s="11" t="s">
        <v>175</v>
      </c>
      <c r="AF122" s="11">
        <f>SUBTOTAL(3,_xlfn.SINGLE(tbl_tags[RowId]))</f>
        <v>1</v>
      </c>
    </row>
    <row r="123" spans="5:32">
      <c r="E123" t="str">
        <f>IF(G123&lt;&gt;tbl_tags[[#This Row],[Tags]],"X","")</f>
        <v/>
      </c>
      <c r="G123" s="258" t="s">
        <v>2352</v>
      </c>
      <c r="J123" s="4">
        <v>101</v>
      </c>
      <c r="K123" s="20" t="s">
        <v>2352</v>
      </c>
      <c r="L123" s="4">
        <v>1</v>
      </c>
      <c r="M123" s="21" t="str">
        <f>HYPERLINK("obsidian://open?vault=o2&amp;file=17%20Habits%20of%20the%20Self-Destructive%20Person%20%28%2B%20How%20to%20Stop%29.md","17 Habits of the Self-Destructive Person (+ How to Stop)")</f>
        <v>17 Habits of the Self-Destructive Person (+ How to Stop)</v>
      </c>
      <c r="N123" s="11" t="s">
        <v>175</v>
      </c>
      <c r="AF123" s="11">
        <f>SUBTOTAL(3,_xlfn.SINGLE(tbl_tags[RowId]))</f>
        <v>1</v>
      </c>
    </row>
    <row r="124" spans="5:32">
      <c r="E124" t="str">
        <f>IF(G124&lt;&gt;tbl_tags[[#This Row],[Tags]],"X","")</f>
        <v/>
      </c>
      <c r="G124" s="259" t="s">
        <v>2353</v>
      </c>
      <c r="J124" s="4">
        <v>102</v>
      </c>
      <c r="K124" s="20" t="s">
        <v>2353</v>
      </c>
      <c r="L124" s="4">
        <v>1</v>
      </c>
      <c r="M124" s="21" t="str">
        <f>HYPERLINK("obsidian://open?vault=o2&amp;file=Python%20Style%20Guide.md","Python Style Guide")</f>
        <v>Python Style Guide</v>
      </c>
      <c r="N124" s="11" t="s">
        <v>175</v>
      </c>
      <c r="AF124" s="11">
        <f>SUBTOTAL(3,_xlfn.SINGLE(tbl_tags[RowId]))</f>
        <v>1</v>
      </c>
    </row>
    <row r="125" spans="5:32">
      <c r="E125" t="str">
        <f>IF(G125&lt;&gt;tbl_tags[[#This Row],[Tags]],"X","")</f>
        <v/>
      </c>
      <c r="G125" s="258" t="s">
        <v>2354</v>
      </c>
      <c r="J125" s="4">
        <v>103</v>
      </c>
      <c r="K125" s="20" t="s">
        <v>2354</v>
      </c>
      <c r="L125" s="4">
        <v>1</v>
      </c>
      <c r="M125"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125" s="11" t="s">
        <v>175</v>
      </c>
      <c r="AF125" s="11">
        <f>SUBTOTAL(3,_xlfn.SINGLE(tbl_tags[RowId]))</f>
        <v>1</v>
      </c>
    </row>
    <row r="126" spans="5:32">
      <c r="E126" t="str">
        <f>IF(G126&lt;&gt;tbl_tags[[#This Row],[Tags]],"X","")</f>
        <v/>
      </c>
      <c r="G126" s="259" t="s">
        <v>2355</v>
      </c>
      <c r="J126" s="4">
        <v>104</v>
      </c>
      <c r="K126" s="20" t="s">
        <v>2355</v>
      </c>
      <c r="L126" s="4">
        <v>2</v>
      </c>
      <c r="M126" s="21" t="str">
        <f>HYPERLINK("obsidian://open?vault=o2&amp;file=2025-03-04.md","2025-03-04")</f>
        <v>2025-03-04</v>
      </c>
      <c r="N126" s="11" t="s">
        <v>175</v>
      </c>
      <c r="O126" s="21" t="str">
        <f>HYPERLINK("obsidian://open?vault=o2&amp;file=2025-03-04.md","2025-03-04")</f>
        <v>2025-03-04</v>
      </c>
      <c r="P126" s="11" t="s">
        <v>175</v>
      </c>
      <c r="AF126" s="11">
        <f>SUBTOTAL(3,_xlfn.SINGLE(tbl_tags[RowId]))</f>
        <v>1</v>
      </c>
    </row>
    <row r="127" spans="5:32">
      <c r="E127" t="str">
        <f>IF(G127&lt;&gt;tbl_tags[[#This Row],[Tags]],"X","")</f>
        <v/>
      </c>
      <c r="G127" s="258" t="s">
        <v>2356</v>
      </c>
      <c r="J127" s="4">
        <v>105</v>
      </c>
      <c r="K127" s="20" t="s">
        <v>2356</v>
      </c>
      <c r="L127" s="4">
        <v>1</v>
      </c>
      <c r="M127" s="21" t="str">
        <f>HYPERLINK("obsidian://open?vault=o2&amp;file=Setup%20Servarr.md","Setup Servarr")</f>
        <v>Setup Servarr</v>
      </c>
      <c r="N127" s="11" t="s">
        <v>175</v>
      </c>
      <c r="AF127" s="11">
        <f>SUBTOTAL(3,_xlfn.SINGLE(tbl_tags[RowId]))</f>
        <v>1</v>
      </c>
    </row>
    <row r="128" spans="5:32">
      <c r="E128" t="str">
        <f>IF(G128&lt;&gt;tbl_tags[[#This Row],[Tags]],"X","")</f>
        <v/>
      </c>
      <c r="G128" s="259" t="s">
        <v>2357</v>
      </c>
      <c r="J128" s="4">
        <v>106</v>
      </c>
      <c r="K128" s="20" t="s">
        <v>2357</v>
      </c>
      <c r="L128" s="4">
        <v>1</v>
      </c>
      <c r="M128"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N128" s="11" t="s">
        <v>175</v>
      </c>
      <c r="AF128" s="11">
        <f>SUBTOTAL(3,_xlfn.SINGLE(tbl_tags[RowId]))</f>
        <v>1</v>
      </c>
    </row>
    <row r="129" spans="5:32">
      <c r="E129" t="str">
        <f>IF(G129&lt;&gt;tbl_tags[[#This Row],[Tags]],"X","")</f>
        <v/>
      </c>
      <c r="G129" s="258" t="s">
        <v>2358</v>
      </c>
      <c r="J129" s="4">
        <v>107</v>
      </c>
      <c r="K129" s="20" t="s">
        <v>2358</v>
      </c>
      <c r="L129" s="4">
        <v>1</v>
      </c>
      <c r="M129" s="21" t="str">
        <f>HYPERLINK("obsidian://open?vault=o2&amp;file=Google%20Dorks%202025.md","Google Dorks 2025")</f>
        <v>Google Dorks 2025</v>
      </c>
      <c r="N129" s="11" t="s">
        <v>175</v>
      </c>
      <c r="AF129" s="11">
        <f>SUBTOTAL(3,_xlfn.SINGLE(tbl_tags[RowId]))</f>
        <v>1</v>
      </c>
    </row>
    <row r="130" spans="5:32">
      <c r="E130" t="str">
        <f>IF(G130&lt;&gt;tbl_tags[[#This Row],[Tags]],"X","")</f>
        <v/>
      </c>
      <c r="G130" s="259" t="s">
        <v>2359</v>
      </c>
      <c r="J130" s="4">
        <v>108</v>
      </c>
      <c r="K130" s="20" t="s">
        <v>2359</v>
      </c>
      <c r="L130" s="4">
        <v>1</v>
      </c>
      <c r="M130" s="21" t="str">
        <f>HYPERLINK("obsidian://open?vault=o2&amp;file=Setup%20GPU%20on%20Zimaboard.md","Setup GPU on Zimaboard")</f>
        <v>Setup GPU on Zimaboard</v>
      </c>
      <c r="N130" s="11" t="s">
        <v>175</v>
      </c>
      <c r="AF130" s="11">
        <f>SUBTOTAL(3,_xlfn.SINGLE(tbl_tags[RowId]))</f>
        <v>1</v>
      </c>
    </row>
    <row r="131" spans="5:32">
      <c r="E131" t="str">
        <f>IF(G131&lt;&gt;tbl_tags[[#This Row],[Tags]],"X","")</f>
        <v/>
      </c>
      <c r="G131" s="258" t="s">
        <v>2360</v>
      </c>
      <c r="J131" s="4">
        <v>109</v>
      </c>
      <c r="K131" s="20" t="s">
        <v>2360</v>
      </c>
      <c r="L131" s="4">
        <v>1</v>
      </c>
      <c r="M131" s="21" t="str">
        <f>HYPERLINK("obsidian://open?vault=o2&amp;file=Install%20Hypersnap%209.md","Install Hypersnap 9")</f>
        <v>Install Hypersnap 9</v>
      </c>
      <c r="N131" s="11" t="s">
        <v>175</v>
      </c>
      <c r="AF131" s="11">
        <f>SUBTOTAL(3,_xlfn.SINGLE(tbl_tags[RowId]))</f>
        <v>1</v>
      </c>
    </row>
    <row r="132" spans="5:32">
      <c r="E132" t="str">
        <f>IF(G132&lt;&gt;tbl_tags[[#This Row],[Tags]],"X","")</f>
        <v/>
      </c>
      <c r="G132" s="259" t="s">
        <v>2361</v>
      </c>
      <c r="J132" s="4">
        <v>110</v>
      </c>
      <c r="K132" s="20" t="s">
        <v>2361</v>
      </c>
      <c r="L132" s="4">
        <v>1</v>
      </c>
      <c r="M132" s="21" t="str">
        <f>HYPERLINK("obsidian://open?vault=o2&amp;file=2025-01-27.md","2025-01-27")</f>
        <v>2025-01-27</v>
      </c>
      <c r="N132" s="11" t="s">
        <v>175</v>
      </c>
      <c r="AF132" s="11">
        <f>SUBTOTAL(3,_xlfn.SINGLE(tbl_tags[RowId]))</f>
        <v>1</v>
      </c>
    </row>
    <row r="133" spans="5:32">
      <c r="E133" t="str">
        <f>IF(G133&lt;&gt;tbl_tags[[#This Row],[Tags]],"X","")</f>
        <v/>
      </c>
      <c r="G133" s="258" t="s">
        <v>2362</v>
      </c>
      <c r="J133" s="4">
        <v>111</v>
      </c>
      <c r="K133" s="20" t="s">
        <v>2362</v>
      </c>
      <c r="L133" s="4">
        <v>1</v>
      </c>
      <c r="M133"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N133" s="11" t="s">
        <v>175</v>
      </c>
      <c r="AF133" s="11">
        <f>SUBTOTAL(3,_xlfn.SINGLE(tbl_tags[RowId]))</f>
        <v>1</v>
      </c>
    </row>
    <row r="134" spans="5:32">
      <c r="E134" t="str">
        <f>IF(G134&lt;&gt;tbl_tags[[#This Row],[Tags]],"X","")</f>
        <v/>
      </c>
      <c r="G134" s="259" t="s">
        <v>2363</v>
      </c>
      <c r="J134" s="4">
        <v>112</v>
      </c>
      <c r="K134" s="20" t="s">
        <v>2363</v>
      </c>
      <c r="L134" s="4">
        <v>1</v>
      </c>
      <c r="M134" s="21" t="str">
        <f>HYPERLINK("obsidian://open?vault=o2&amp;file=17%20Habits%20of%20the%20Self-Destructive%20Person%20%28%2B%20How%20to%20Stop%29.md","17 Habits of the Self-Destructive Person (+ How to Stop)")</f>
        <v>17 Habits of the Self-Destructive Person (+ How to Stop)</v>
      </c>
      <c r="N134" s="11" t="s">
        <v>175</v>
      </c>
      <c r="AF134" s="11">
        <f>SUBTOTAL(3,_xlfn.SINGLE(tbl_tags[RowId]))</f>
        <v>1</v>
      </c>
    </row>
    <row r="135" spans="5:32">
      <c r="E135" t="str">
        <f>IF(G135&lt;&gt;tbl_tags[[#This Row],[Tags]],"X","")</f>
        <v/>
      </c>
      <c r="G135" s="258" t="s">
        <v>2364</v>
      </c>
      <c r="J135" s="4">
        <v>113</v>
      </c>
      <c r="K135" s="20" t="s">
        <v>2364</v>
      </c>
      <c r="L135" s="4">
        <v>7</v>
      </c>
      <c r="M135" s="21" t="str">
        <f>HYPERLINK("obsidian://open?vault=o2&amp;file=Fix%20Drives%20with%20Partition%20Magic.md","Fix Drives with Partition Magic")</f>
        <v>Fix Drives with Partition Magic</v>
      </c>
      <c r="N135" s="11" t="s">
        <v>175</v>
      </c>
      <c r="O135" s="21" t="str">
        <f>HYPERLINK("obsidian://open?vault=o2&amp;file=Setup%20Servarr.md","Setup Servarr")</f>
        <v>Setup Servarr</v>
      </c>
      <c r="P135" s="11" t="s">
        <v>175</v>
      </c>
      <c r="Q135" s="21" t="str">
        <f>HYPERLINK("obsidian://open?vault=o2&amp;file=Setup%20the%20Zimaboard%20to%20boot%20off%20the%20USB%20Stick.md","Setup the Zimaboard to boot off the USB Stick")</f>
        <v>Setup the Zimaboard to boot off the USB Stick</v>
      </c>
      <c r="R135" s="11" t="s">
        <v>175</v>
      </c>
      <c r="S135" s="21" t="str">
        <f>HYPERLINK("obsidian://open?vault=o2&amp;file=PC%20Re-Build%20Step%20Sequence%20Script.md","PC Re-Build Step Sequence Script")</f>
        <v>PC Re-Build Step Sequence Script</v>
      </c>
      <c r="T135" s="11" t="s">
        <v>175</v>
      </c>
      <c r="U135" s="21" t="str">
        <f>HYPERLINK("obsidian://open?vault=o2&amp;file=Computer%20Cable%20Types.md","Computer Cable Types")</f>
        <v>Computer Cable Types</v>
      </c>
      <c r="V135" s="11" t="s">
        <v>175</v>
      </c>
      <c r="W135" s="21" t="str">
        <f>HYPERLINK("obsidian://open?vault=o2&amp;file=Windows%2010%20and%2011%20Wont%20Boot%2C%20How%20To%20Fix%20UEFI%20Partition.md","Windows 10 and 11 Wont Boot, How To Fix UEFI Partition")</f>
        <v>Windows 10 and 11 Wont Boot, How To Fix UEFI Partition</v>
      </c>
      <c r="X135" s="11" t="s">
        <v>175</v>
      </c>
      <c r="Y135" s="21" t="str">
        <f>HYPERLINK("obsidian://open?vault=o2&amp;file=BIOS%20Setup%20Notes.md","BIOS Setup Notes")</f>
        <v>BIOS Setup Notes</v>
      </c>
      <c r="Z135" s="11" t="s">
        <v>175</v>
      </c>
      <c r="AF135" s="11">
        <f>SUBTOTAL(3,_xlfn.SINGLE(tbl_tags[RowId]))</f>
        <v>1</v>
      </c>
    </row>
    <row r="136" spans="5:32">
      <c r="E136" t="str">
        <f>IF(G136&lt;&gt;tbl_tags[[#This Row],[Tags]],"X","")</f>
        <v/>
      </c>
      <c r="G136" s="259" t="s">
        <v>1389</v>
      </c>
      <c r="J136" s="4">
        <v>114</v>
      </c>
      <c r="K136" s="20" t="s">
        <v>1389</v>
      </c>
      <c r="L136" s="4">
        <v>4</v>
      </c>
      <c r="M136" s="21" t="str">
        <f>HYPERLINK("obsidian://open?vault=o2&amp;file=Bletchley%20Park%20interviews%20with%20IJ%20Good%20and%20Mickey.md","Bletchley Park interviews with IJ Good and Mickey")</f>
        <v>Bletchley Park interviews with IJ Good and Mickey</v>
      </c>
      <c r="N136" s="11" t="s">
        <v>175</v>
      </c>
      <c r="O136" s="21" t="str">
        <f>HYPERLINK("obsidian://open?vault=o2&amp;file=Colbert%20Diff%20between%20Classified%20Documents%20Biden%20vs.%20Trump.md","Colbert Diff between Classified Documents Biden vs. Trump")</f>
        <v>Colbert Diff between Classified Documents Biden vs. Trump</v>
      </c>
      <c r="P136" s="11" t="s">
        <v>175</v>
      </c>
      <c r="Q13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R136" s="11" t="s">
        <v>175</v>
      </c>
      <c r="S13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T136" s="11" t="s">
        <v>175</v>
      </c>
      <c r="AF136" s="11">
        <f>SUBTOTAL(3,_xlfn.SINGLE(tbl_tags[RowId]))</f>
        <v>1</v>
      </c>
    </row>
    <row r="137" spans="5:32">
      <c r="E137" t="str">
        <f>IF(G137&lt;&gt;tbl_tags[[#This Row],[Tags]],"X","")</f>
        <v/>
      </c>
      <c r="G137" s="258" t="s">
        <v>2365</v>
      </c>
      <c r="J137" s="4">
        <v>115</v>
      </c>
      <c r="K137" s="20" t="s">
        <v>2365</v>
      </c>
      <c r="L137" s="4">
        <v>2</v>
      </c>
      <c r="M137" s="21" t="str">
        <f>HYPERLINK("obsidian://open?vault=o2&amp;file=Homesale%20Timeline.md","Homesale Timeline")</f>
        <v>Homesale Timeline</v>
      </c>
      <c r="N137" s="11" t="s">
        <v>175</v>
      </c>
      <c r="O137" s="21" t="str">
        <f>HYPERLINK("obsidian://open?vault=o2&amp;file=How%20to%20Sell%20A%20House.md","How to Sell A House")</f>
        <v>How to Sell A House</v>
      </c>
      <c r="P137" s="11" t="s">
        <v>175</v>
      </c>
      <c r="AF137" s="11">
        <f>SUBTOTAL(3,_xlfn.SINGLE(tbl_tags[RowId]))</f>
        <v>1</v>
      </c>
    </row>
    <row r="138" spans="5:32">
      <c r="E138" t="str">
        <f>IF(G138&lt;&gt;tbl_tags[[#This Row],[Tags]],"X","")</f>
        <v/>
      </c>
      <c r="G138" s="259" t="s">
        <v>2366</v>
      </c>
      <c r="J138" s="4">
        <v>116</v>
      </c>
      <c r="K138" s="20" t="s">
        <v>2366</v>
      </c>
      <c r="L138" s="4">
        <v>1</v>
      </c>
      <c r="M138" s="21" t="str">
        <f>HYPERLINK("obsidian://open?vault=o2&amp;file=%E2%9A%A1%20Setup%20Linode%20Server%20Project.md","⚡ Setup Linode Server Project")</f>
        <v>⚡ Setup Linode Server Project</v>
      </c>
      <c r="N138" s="11" t="s">
        <v>175</v>
      </c>
      <c r="AF138" s="11">
        <f>SUBTOTAL(3,_xlfn.SINGLE(tbl_tags[RowId]))</f>
        <v>1</v>
      </c>
    </row>
    <row r="139" spans="5:32">
      <c r="E139" t="str">
        <f>IF(G139&lt;&gt;tbl_tags[[#This Row],[Tags]],"X","")</f>
        <v/>
      </c>
      <c r="G139" s="258" t="s">
        <v>2367</v>
      </c>
      <c r="J139" s="4">
        <v>117</v>
      </c>
      <c r="K139" s="20" t="s">
        <v>2367</v>
      </c>
      <c r="L139" s="4">
        <v>4</v>
      </c>
      <c r="M139" s="21" t="str">
        <f>HYPERLINK("obsidian://open?vault=o2&amp;file=Hotkeys%20Defined-Orig.md","Hotkeys Defined-Orig")</f>
        <v>Hotkeys Defined-Orig</v>
      </c>
      <c r="N139" s="11" t="s">
        <v>175</v>
      </c>
      <c r="O139" s="21" t="str">
        <f>HYPERLINK("obsidian://open?vault=o2&amp;file=Obsidian%20Hotkeys%20for%20Editing.md","Obsidian Hotkeys for Editing")</f>
        <v>Obsidian Hotkeys for Editing</v>
      </c>
      <c r="P139" s="11" t="s">
        <v>175</v>
      </c>
      <c r="Q139" s="21" t="str">
        <f>HYPERLINK("obsidian://open?vault=o2&amp;file=My%20Leader%20Keys.md","My Leader Keys")</f>
        <v>My Leader Keys</v>
      </c>
      <c r="R139" s="11" t="s">
        <v>175</v>
      </c>
      <c r="S139" s="21" t="str">
        <f>HYPERLINK("obsidian://open?vault=o2&amp;file=Chrome%20Built-In%20Hotkeys.md","Chrome Built-In Hotkeys")</f>
        <v>Chrome Built-In Hotkeys</v>
      </c>
      <c r="T139" s="11" t="s">
        <v>175</v>
      </c>
      <c r="AF139" s="11">
        <f>SUBTOTAL(3,_xlfn.SINGLE(tbl_tags[RowId]))</f>
        <v>1</v>
      </c>
    </row>
    <row r="140" spans="5:32">
      <c r="E140" t="str">
        <f>IF(G140&lt;&gt;tbl_tags[[#This Row],[Tags]],"X","")</f>
        <v/>
      </c>
      <c r="G140" s="259" t="s">
        <v>2368</v>
      </c>
      <c r="J140" s="4">
        <v>118</v>
      </c>
      <c r="K140" s="20" t="s">
        <v>2368</v>
      </c>
      <c r="L140" s="4">
        <v>3</v>
      </c>
      <c r="M140" s="21" t="str">
        <f>HYPERLINK("obsidian://open?vault=o2&amp;file=Setup%20bash%20and%20VIM.md","Setup bash and VIM")</f>
        <v>Setup bash and VIM</v>
      </c>
      <c r="N140" s="11" t="s">
        <v>175</v>
      </c>
      <c r="O140"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P140" s="11" t="s">
        <v>175</v>
      </c>
      <c r="Q140" s="21" t="str">
        <f>HYPERLINK("obsidian://open?vault=o2&amp;file=obsidian-scraper.md","obsidian-scraper")</f>
        <v>obsidian-scraper</v>
      </c>
      <c r="R140" s="11" t="s">
        <v>175</v>
      </c>
      <c r="AF140" s="11">
        <f>SUBTOTAL(3,_xlfn.SINGLE(tbl_tags[RowId]))</f>
        <v>1</v>
      </c>
    </row>
    <row r="141" spans="5:32">
      <c r="E141" t="str">
        <f>IF(G141&lt;&gt;tbl_tags[[#This Row],[Tags]],"X","")</f>
        <v/>
      </c>
      <c r="G141" s="258" t="s">
        <v>2369</v>
      </c>
      <c r="J141" s="4">
        <v>119</v>
      </c>
      <c r="K141" s="20" t="s">
        <v>2369</v>
      </c>
      <c r="L141" s="4">
        <v>2</v>
      </c>
      <c r="M141" s="21" t="str">
        <f>HYPERLINK("obsidian://open?vault=o2&amp;file=Fix%20Hue%20Lights.md","Fix Hue Lights")</f>
        <v>Fix Hue Lights</v>
      </c>
      <c r="N141" s="11" t="s">
        <v>175</v>
      </c>
      <c r="O141" s="21" t="str">
        <f>HYPERLINK("obsidian://open?vault=o2&amp;file=Log%20Serial%20Numbers.md","Log Serial Numbers")</f>
        <v>Log Serial Numbers</v>
      </c>
      <c r="P141" s="11" t="s">
        <v>175</v>
      </c>
      <c r="AF141" s="11">
        <f>SUBTOTAL(3,_xlfn.SINGLE(tbl_tags[RowId]))</f>
        <v>1</v>
      </c>
    </row>
    <row r="142" spans="5:32">
      <c r="E142" t="str">
        <f>IF(G142&lt;&gt;tbl_tags[[#This Row],[Tags]],"X","")</f>
        <v/>
      </c>
      <c r="G142" s="259" t="s">
        <v>2370</v>
      </c>
      <c r="J142" s="4">
        <v>120</v>
      </c>
      <c r="K142" s="20" t="s">
        <v>2370</v>
      </c>
      <c r="L142" s="4">
        <v>2</v>
      </c>
      <c r="M142" s="21" t="str">
        <f>HYPERLINK("obsidian://open?vault=o2&amp;file=Jokologue.md","Jokologue")</f>
        <v>Jokologue</v>
      </c>
      <c r="N142" s="11" t="s">
        <v>175</v>
      </c>
      <c r="O142" s="21" t="str">
        <f>HYPERLINK("obsidian://open?vault=o2&amp;file=Colbert%20Diff%20between%20Classified%20Documents%20Biden%20vs.%20Trump.md","Colbert Diff between Classified Documents Biden vs. Trump")</f>
        <v>Colbert Diff between Classified Documents Biden vs. Trump</v>
      </c>
      <c r="P142" s="11" t="s">
        <v>175</v>
      </c>
      <c r="AF142" s="11">
        <f>SUBTOTAL(3,_xlfn.SINGLE(tbl_tags[RowId]))</f>
        <v>1</v>
      </c>
    </row>
    <row r="143" spans="5:32">
      <c r="E143" t="str">
        <f>IF(G143&lt;&gt;tbl_tags[[#This Row],[Tags]],"X","")</f>
        <v/>
      </c>
      <c r="G143" s="258" t="s">
        <v>2371</v>
      </c>
      <c r="J143" s="4">
        <v>121</v>
      </c>
      <c r="K143" s="20" t="s">
        <v>2371</v>
      </c>
      <c r="L143" s="4">
        <v>11</v>
      </c>
      <c r="M143" s="21" t="str">
        <f>HYPERLINK("obsidian://open?vault=o2&amp;file=%F0%9F%93%9A%20How%20To%20Take%20Smart%20Notes.md","📚 How To Take Smart Notes")</f>
        <v>📚 How To Take Smart Notes</v>
      </c>
      <c r="N143" s="11" t="s">
        <v>175</v>
      </c>
      <c r="O143" s="21" t="str">
        <f>HYPERLINK("obsidian://open?vault=o2&amp;file=%F0%9F%93%9A%20Johns%20Building%20a%20Second%20Brain.md","📚 Johns Building a Second Brain")</f>
        <v>📚 Johns Building a Second Brain</v>
      </c>
      <c r="P143" s="11" t="s">
        <v>175</v>
      </c>
      <c r="Q143" s="21" t="str">
        <f>HYPERLINK("obsidian://open?vault=o2&amp;file=%F0%9F%93%A5%20Pinterest%20as%20a%20Source.md","📥 Pinterest as a Source")</f>
        <v>📥 Pinterest as a Source</v>
      </c>
      <c r="R143" s="11" t="s">
        <v>175</v>
      </c>
      <c r="S143" s="21" t="str">
        <f>HYPERLINK("obsidian://open?vault=o2&amp;file=%F0%9F%93%A5%20Review%20Pinterest%20Account%20For%20Ideas.md","📥 Review Pinterest Account For Ideas")</f>
        <v>📥 Review Pinterest Account For Ideas</v>
      </c>
      <c r="T143" s="11" t="s">
        <v>175</v>
      </c>
      <c r="U143" s="21" t="str">
        <f>HYPERLINK("obsidian://open?vault=o2&amp;file=8%20Easy%20Food%20Plating%20Hacks%20That%20Will%20Blow%20You%20Away.md","8 Easy Food Plating Hacks That Will Blow You Away")</f>
        <v>8 Easy Food Plating Hacks That Will Blow You Away</v>
      </c>
      <c r="V143" s="11" t="s">
        <v>175</v>
      </c>
      <c r="W143" s="21" t="str">
        <f>HYPERLINK("obsidian://open?vault=o2&amp;file=Better%20Than%20Grandmas%20Dinner%21%20My%20Parents%20Were%20Stunned%20After%20Trying%20It%21%21%21.md","Better Than Grandmas Dinner! My Parents Were Stunned After Trying It!!!")</f>
        <v>Better Than Grandmas Dinner! My Parents Were Stunned After Trying It!!!</v>
      </c>
      <c r="X143" s="11" t="s">
        <v>175</v>
      </c>
      <c r="Y143"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Z143" s="11" t="s">
        <v>175</v>
      </c>
      <c r="AA143" s="21" t="str">
        <f>HYPERLINK("obsidian://open?vault=o2&amp;file=Free%20Lightroom%20Tutorial%20%20Adobe%20Lightroom%20Essentials%20Training%20Course.md","Free Lightroom Tutorial  Adobe Lightroom Essentials Training Course")</f>
        <v>Free Lightroom Tutorial  Adobe Lightroom Essentials Training Course</v>
      </c>
      <c r="AB143" s="11" t="s">
        <v>175</v>
      </c>
      <c r="AC143" s="21" t="str">
        <f>HYPERLINK("obsidian://open?vault=o2&amp;file=My%20Clean%2C%20Modern%20Desk%20Setup%20for%20Productivity%20%26%20Creativity.md","My Clean, Modern Desk Setup for Productivity &amp; Creativity")</f>
        <v>My Clean, Modern Desk Setup for Productivity &amp; Creativity</v>
      </c>
      <c r="AD143" s="11" t="s">
        <v>175</v>
      </c>
      <c r="AE143" s="21" t="str">
        <f>HYPERLINK("obsidian://open?vault=o2&amp;file=%E2%9A%92%EF%B8%8F%20FUT%20-%20Frequently%20Used%20Tags.md","⚒️ FUT - Frequently Used Tags")</f>
        <v>⚒️ FUT - Frequently Used Tags</v>
      </c>
      <c r="AF143" s="11">
        <f>SUBTOTAL(3,_xlfn.SINGLE(tbl_tags[RowId]))</f>
        <v>1</v>
      </c>
    </row>
    <row r="144" spans="5:32">
      <c r="E144" t="str">
        <f>IF(G144&lt;&gt;tbl_tags[[#This Row],[Tags]],"X","")</f>
        <v/>
      </c>
      <c r="G144" s="259" t="s">
        <v>2372</v>
      </c>
      <c r="J144" s="4">
        <v>122</v>
      </c>
      <c r="K144" s="20" t="s">
        <v>2372</v>
      </c>
      <c r="L144" s="4">
        <v>22</v>
      </c>
      <c r="M144" s="21" t="str">
        <f>HYPERLINK("obsidian://open?vault=o2&amp;file=6%20Best%20Cheap%20Web%20Hosting%20Services%20%28Current%20Deals%29.md","6 Best Cheap Web Hosting Services (Current Deals)")</f>
        <v>6 Best Cheap Web Hosting Services (Current Deals)</v>
      </c>
      <c r="N144" s="11" t="s">
        <v>175</v>
      </c>
      <c r="O144" s="21" t="str">
        <f>HYPERLINK("obsidian://open?vault=o2&amp;file=incl_yaml.md","incl_yaml")</f>
        <v>incl_yaml</v>
      </c>
      <c r="P144" s="11" t="s">
        <v>175</v>
      </c>
      <c r="Q144" s="21" t="str">
        <f>HYPERLINK("obsidian://open?vault=o2&amp;file=Setup%20a%20VPN%20on%20your%20network.md","Setup a VPN on your network")</f>
        <v>Setup a VPN on your network</v>
      </c>
      <c r="R144" s="11" t="s">
        <v>175</v>
      </c>
      <c r="S144" s="21" t="str">
        <f>HYPERLINK("obsidian://open?vault=o2&amp;file=The%20Debian%20Series-users%20and%20groups%20management.md","The Debian Series-users and groups management")</f>
        <v>The Debian Series-users and groups management</v>
      </c>
      <c r="T144" s="11" t="s">
        <v>175</v>
      </c>
      <c r="U144" s="21" t="str">
        <f>HYPERLINK("obsidian://open?vault=o2&amp;file=The%20Food%20Expiration%20Dates%20You%20Should%20Actually%20Follow.md","The Food Expiration Dates You Should Actually Follow")</f>
        <v>The Food Expiration Dates You Should Actually Follow</v>
      </c>
      <c r="V144" s="11" t="s">
        <v>175</v>
      </c>
      <c r="W144" s="21" t="str">
        <f>HYPERLINK("obsidian://open?vault=o2&amp;file=The%20usermod%20command.md","The usermod command")</f>
        <v>The usermod command</v>
      </c>
      <c r="X144" s="11" t="s">
        <v>175</v>
      </c>
      <c r="Y144" s="21" t="str">
        <f>HYPERLINK("obsidian://open?vault=o2&amp;file=Vim%20Cheatsheet.md","Vim Cheatsheet")</f>
        <v>Vim Cheatsheet</v>
      </c>
      <c r="Z144" s="11" t="s">
        <v>175</v>
      </c>
      <c r="AA144" s="21" t="str">
        <f>HYPERLINK("obsidian://open?vault=o2&amp;file=%F0%9F%93%A5%20The%203-Part%20Daily%20Routine%20For%20Maximum%20Productivity.md","📥 The 3-Part Daily Routine For Maximum Productivity")</f>
        <v>📥 The 3-Part Daily Routine For Maximum Productivity</v>
      </c>
      <c r="AB144" s="11" t="s">
        <v>175</v>
      </c>
      <c r="AC144" s="21" t="str">
        <f>HYPERLINK("obsidian://open?vault=o2&amp;file=How%20to%20Disable%20IPV6.md","How to Disable IPV6")</f>
        <v>How to Disable IPV6</v>
      </c>
      <c r="AD144" s="11" t="s">
        <v>175</v>
      </c>
      <c r="AE144" s="21" t="str">
        <f>HYPERLINK("obsidian://open?vault=o2&amp;file=Install%20Nginx%20Proxy%20Manager%20on%20CasaOS.md","Install Nginx Proxy Manager on CasaOS")</f>
        <v>Install Nginx Proxy Manager on CasaOS</v>
      </c>
      <c r="AF144" s="11">
        <f>SUBTOTAL(3,_xlfn.SINGLE(tbl_tags[RowId]))</f>
        <v>1</v>
      </c>
    </row>
    <row r="145" spans="5:32">
      <c r="E145" t="str">
        <f>IF(G145&lt;&gt;tbl_tags[[#This Row],[Tags]],"X","")</f>
        <v/>
      </c>
      <c r="G145" s="258" t="s">
        <v>2373</v>
      </c>
      <c r="J145" s="4">
        <v>123</v>
      </c>
      <c r="K145" s="20" t="s">
        <v>2373</v>
      </c>
      <c r="L145" s="4">
        <v>1</v>
      </c>
      <c r="M145" s="21" t="str">
        <f>HYPERLINK("obsidian://open?vault=o2&amp;file=Search%20and%20Replace%20in%20Vim.md","Search and Replace in Vim")</f>
        <v>Search and Replace in Vim</v>
      </c>
      <c r="N145" s="11" t="s">
        <v>175</v>
      </c>
      <c r="AF145" s="11">
        <f>SUBTOTAL(3,_xlfn.SINGLE(tbl_tags[RowId]))</f>
        <v>1</v>
      </c>
    </row>
    <row r="146" spans="5:32">
      <c r="E146" t="str">
        <f>IF(G146&lt;&gt;tbl_tags[[#This Row],[Tags]],"X","")</f>
        <v/>
      </c>
      <c r="G146" s="259" t="s">
        <v>2374</v>
      </c>
      <c r="J146" s="4">
        <v>124</v>
      </c>
      <c r="K146" s="20" t="s">
        <v>2374</v>
      </c>
      <c r="L146" s="4">
        <v>2</v>
      </c>
      <c r="M146" s="21" t="str">
        <f>HYPERLINK("obsidian://open?vault=o2&amp;file=Haircut--Ring%20Lardner%20%281885-1933%29.md","Haircut--Ring Lardner (1885-1933)")</f>
        <v>Haircut--Ring Lardner (1885-1933)</v>
      </c>
      <c r="N146" s="11" t="s">
        <v>175</v>
      </c>
      <c r="O146" s="21" t="str">
        <f>HYPERLINK("obsidian://open?vault=o2&amp;file=Book%20Application%20Template.md","Book Application Template")</f>
        <v>Book Application Template</v>
      </c>
      <c r="P146" s="11" t="s">
        <v>175</v>
      </c>
      <c r="AF146" s="11">
        <f>SUBTOTAL(3,_xlfn.SINGLE(tbl_tags[RowId]))</f>
        <v>1</v>
      </c>
    </row>
    <row r="147" spans="5:32">
      <c r="E147" t="str">
        <f>IF(G147&lt;&gt;tbl_tags[[#This Row],[Tags]],"X","")</f>
        <v/>
      </c>
      <c r="G147" s="258" t="s">
        <v>2375</v>
      </c>
      <c r="J147" s="4">
        <v>125</v>
      </c>
      <c r="K147" s="20" t="s">
        <v>2375</v>
      </c>
      <c r="L147" s="4">
        <v>1</v>
      </c>
      <c r="M147" s="21" t="str">
        <f>HYPERLINK("obsidian://open?vault=o2&amp;file=Setup%20Streamdeck%20Plus.md","Setup Streamdeck Plus")</f>
        <v>Setup Streamdeck Plus</v>
      </c>
      <c r="N147" s="11" t="s">
        <v>175</v>
      </c>
      <c r="AF147" s="11">
        <f>SUBTOTAL(3,_xlfn.SINGLE(tbl_tags[RowId]))</f>
        <v>1</v>
      </c>
    </row>
    <row r="148" spans="5:32">
      <c r="E148" t="str">
        <f>IF(G148&lt;&gt;tbl_tags[[#This Row],[Tags]],"X","")</f>
        <v/>
      </c>
      <c r="G148" s="259" t="s">
        <v>2376</v>
      </c>
      <c r="J148" s="4">
        <v>126</v>
      </c>
      <c r="K148" s="20" t="s">
        <v>2376</v>
      </c>
      <c r="L148" s="4">
        <v>2</v>
      </c>
      <c r="M148" s="21" t="str">
        <f>HYPERLINK("obsidian://open?vault=o2&amp;file=BISAC%20Book%20Classifications.md","BISAC Book Classifications")</f>
        <v>BISAC Book Classifications</v>
      </c>
      <c r="N148" s="11" t="s">
        <v>175</v>
      </c>
      <c r="O148" s="21" t="str">
        <f>HYPERLINK("obsidian://open?vault=o2&amp;file=Computer%20Cable%20Types.md","Computer Cable Types")</f>
        <v>Computer Cable Types</v>
      </c>
      <c r="P148" s="11" t="s">
        <v>175</v>
      </c>
      <c r="AF148" s="11">
        <f>SUBTOTAL(3,_xlfn.SINGLE(tbl_tags[RowId]))</f>
        <v>1</v>
      </c>
    </row>
    <row r="149" spans="5:32">
      <c r="E149" t="str">
        <f>IF(G149&lt;&gt;tbl_tags[[#This Row],[Tags]],"X","")</f>
        <v/>
      </c>
      <c r="G149" s="258" t="s">
        <v>2377</v>
      </c>
      <c r="J149" s="4">
        <v>127</v>
      </c>
      <c r="K149" s="20" t="s">
        <v>2377</v>
      </c>
      <c r="L149" s="4">
        <v>13</v>
      </c>
      <c r="M149" s="21" t="str">
        <f>HYPERLINK("obsidian://open?vault=o2&amp;file=Extra%20Learning%20Resources.md","Extra Learning Resources")</f>
        <v>Extra Learning Resources</v>
      </c>
      <c r="N149" s="11" t="s">
        <v>175</v>
      </c>
      <c r="O149" s="21" t="str">
        <f>HYPERLINK("obsidian://open?vault=o2&amp;file=20%20AMAZING%20Art%20Workspace%20Hacks%20%28FREE%20or%20cheap%21%29.md","20 AMAZING Art Workspace Hacks (FREE or cheap!)")</f>
        <v>20 AMAZING Art Workspace Hacks (FREE or cheap!)</v>
      </c>
      <c r="P149" s="11" t="s">
        <v>175</v>
      </c>
      <c r="Q149" s="21" t="str">
        <f>HYPERLINK("obsidian://open?vault=o2&amp;file=Architects%205%20Step%20Desk%20Setup%20Makeover.md","Architects 5 Step Desk Setup Makeover")</f>
        <v>Architects 5 Step Desk Setup Makeover</v>
      </c>
      <c r="R149" s="11" t="s">
        <v>175</v>
      </c>
      <c r="S149" s="21" t="str">
        <f>HYPERLINK("obsidian://open?vault=o2&amp;file=Flat%20Icon%20and%20Shadow%20Using%20The%20Blend%20Tool%20In%20Adobe%20Illustrator.md","Flat Icon and Shadow Using The Blend Tool In Adobe Illustrator")</f>
        <v>Flat Icon and Shadow Using The Blend Tool In Adobe Illustrator</v>
      </c>
      <c r="T149" s="11" t="s">
        <v>175</v>
      </c>
      <c r="U149"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V149" s="11" t="s">
        <v>175</v>
      </c>
      <c r="W149" s="21" t="str">
        <f>HYPERLINK("obsidian://open?vault=o2&amp;file=How%20To%20Hide%20Wires%20Behind%20Wall%20-%20NO%20DRYWALL%20REPAIR%20NEEDED%20Hiding%20Wires.md","How To Hide Wires Behind Wall - NO DRYWALL REPAIR NEEDED Hiding Wires")</f>
        <v>How To Hide Wires Behind Wall - NO DRYWALL REPAIR NEEDED Hiding Wires</v>
      </c>
      <c r="X149" s="11" t="s">
        <v>175</v>
      </c>
      <c r="Y149" s="21" t="str">
        <f>HYPERLINK("obsidian://open?vault=o2&amp;file=My%20Clean%2C%20Modern%20Desk%20Setup%20for%20Productivity%20%26%20Creativity.md","My Clean, Modern Desk Setup for Productivity &amp; Creativity")</f>
        <v>My Clean, Modern Desk Setup for Productivity &amp; Creativity</v>
      </c>
      <c r="Z149" s="11" t="s">
        <v>175</v>
      </c>
      <c r="AA149" s="21" t="str">
        <f>HYPERLINK("obsidian://open?vault=o2&amp;file=The%20Perfect%20Diane%20Sauce%20-%20Chicken%20Diane%20%20Chef%20Jean-Pierre.md","The Perfect Diane Sauce - Chicken Diane  Chef Jean-Pierre")</f>
        <v>The Perfect Diane Sauce - Chicken Diane  Chef Jean-Pierre</v>
      </c>
      <c r="AB149" s="11" t="s">
        <v>175</v>
      </c>
      <c r="AC149" s="21" t="str">
        <f>HYPERLINK("obsidian://open?vault=o2&amp;file=The%20Ultimate%20Cable%20Management%20Tier%20List.md","The Ultimate Cable Management Tier List")</f>
        <v>The Ultimate Cable Management Tier List</v>
      </c>
      <c r="AD149" s="11" t="s">
        <v>175</v>
      </c>
      <c r="AE149" s="21" t="str">
        <f>HYPERLINK("obsidian://open?vault=o2&amp;file=Time%20to%20UNSUBSCRIBE%20from%20Disney%2B%2C%20Netflix%2C%20etc%21.md","Time to UNSUBSCRIBE from Disney+, Netflix, etc!")</f>
        <v>Time to UNSUBSCRIBE from Disney+, Netflix, etc!</v>
      </c>
      <c r="AF149" s="11">
        <f>SUBTOTAL(3,_xlfn.SINGLE(tbl_tags[RowId]))</f>
        <v>1</v>
      </c>
    </row>
    <row r="150" spans="5:32">
      <c r="E150" t="str">
        <f>IF(G150&lt;&gt;tbl_tags[[#This Row],[Tags]],"X","")</f>
        <v>X</v>
      </c>
      <c r="G150" s="259" t="s">
        <v>2378</v>
      </c>
      <c r="J150" s="4">
        <v>384</v>
      </c>
      <c r="K150" s="20" t="s">
        <v>2377</v>
      </c>
      <c r="L150" s="4">
        <v>1</v>
      </c>
      <c r="M15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N150" s="11" t="s">
        <v>175</v>
      </c>
      <c r="AF150" s="11">
        <f>SUBTOTAL(3,_xlfn.SINGLE(tbl_tags[RowId]))</f>
        <v>1</v>
      </c>
    </row>
    <row r="151" spans="5:32">
      <c r="E151" t="str">
        <f>IF(G151&lt;&gt;tbl_tags[[#This Row],[Tags]],"X","")</f>
        <v>X</v>
      </c>
      <c r="G151" s="258" t="s">
        <v>2379</v>
      </c>
      <c r="J151" s="4">
        <v>128</v>
      </c>
      <c r="K151" s="20" t="s">
        <v>2378</v>
      </c>
      <c r="L151" s="4">
        <v>8</v>
      </c>
      <c r="M151" s="21" t="str">
        <f>HYPERLINK("obsidian://open?vault=o2&amp;file=Learn%20Python%20in%20Y%20Minutes.md","Learn Python in Y Minutes")</f>
        <v>Learn Python in Y Minutes</v>
      </c>
      <c r="N151" s="11" t="s">
        <v>175</v>
      </c>
      <c r="O151" s="21" t="str">
        <f>HYPERLINK("obsidian://open?vault=o2&amp;file=13%20Crucial%20Questions%20to%20Ask%20a%20Realtor%20When%20Selling.md","13 Crucial Questions to Ask a Realtor When Selling")</f>
        <v>13 Crucial Questions to Ask a Realtor When Selling</v>
      </c>
      <c r="P151" s="11" t="s">
        <v>175</v>
      </c>
      <c r="Q151" s="21" t="str">
        <f>HYPERLINK("obsidian://open?vault=o2&amp;file=22%20FREE%20Windows%20Utilities%20EVERY%20User%20MUST%20Know%20About%21.md","22 FREE Windows Utilities EVERY User MUST Know About!")</f>
        <v>22 FREE Windows Utilities EVERY User MUST Know About!</v>
      </c>
      <c r="R151" s="11" t="s">
        <v>175</v>
      </c>
      <c r="S151" s="21" t="str">
        <f>HYPERLINK("obsidian://open?vault=o2&amp;file=Do%20Yourself%20a%20Favor%20and%20Go%20Find%20a%20%E2%80%98Third%20Place%E2%80%99.md","Do Yourself a Favor and Go Find a ‘Third Place’")</f>
        <v>Do Yourself a Favor and Go Find a ‘Third Place’</v>
      </c>
      <c r="T151" s="11" t="s">
        <v>175</v>
      </c>
      <c r="U151" s="21" t="str">
        <f>HYPERLINK("obsidian://open?vault=o2&amp;file=How%20to%20Make%20Changes%20to%20Multiple%20Files%20Using%20Python%20%20Envato%20Tuts%2B.md","How to Make Changes to Multiple Files Using Python  Envato Tuts+")</f>
        <v>How to Make Changes to Multiple Files Using Python  Envato Tuts+</v>
      </c>
      <c r="V151" s="11" t="s">
        <v>175</v>
      </c>
      <c r="W151" s="21" t="str">
        <f>HYPERLINK("obsidian://open?vault=o2&amp;file=Kurt%20Vonnegut%E2%80%99s%20Greatest%20Writing%20Advice.md","Kurt Vonnegut’s Greatest Writing Advice")</f>
        <v>Kurt Vonnegut’s Greatest Writing Advice</v>
      </c>
      <c r="X151" s="11" t="s">
        <v>175</v>
      </c>
      <c r="Y151" s="21" t="str">
        <f>HYPERLINK("obsidian://open?vault=o2&amp;file=Python%20Style%20Guide.md","Python Style Guide")</f>
        <v>Python Style Guide</v>
      </c>
      <c r="Z151" s="11" t="s">
        <v>175</v>
      </c>
      <c r="AA151" s="21" t="str">
        <f>HYPERLINK("obsidian://open?vault=o2&amp;file=How%20to%20Create%20So%20Much%20They%20Can%E2%80%99t%20Ignore%20You.md","How to Create So Much They Can’t Ignore You")</f>
        <v>How to Create So Much They Can’t Ignore You</v>
      </c>
      <c r="AB151" s="11" t="s">
        <v>175</v>
      </c>
      <c r="AF151" s="11">
        <f>SUBTOTAL(3,_xlfn.SINGLE(tbl_tags[RowId]))</f>
        <v>1</v>
      </c>
    </row>
    <row r="152" spans="5:32">
      <c r="E152" t="str">
        <f>IF(G152&lt;&gt;tbl_tags[[#This Row],[Tags]],"X","")</f>
        <v>X</v>
      </c>
      <c r="G152" s="259" t="s">
        <v>46</v>
      </c>
      <c r="J152" s="4">
        <v>129</v>
      </c>
      <c r="K152" s="20" t="s">
        <v>2379</v>
      </c>
      <c r="L152" s="4">
        <v>1</v>
      </c>
      <c r="M152" s="21" t="str">
        <f>HYPERLINK("obsidian://open?vault=o2&amp;file=2025-03-08.md","2025-03-08")</f>
        <v>2025-03-08</v>
      </c>
      <c r="N152" s="11" t="s">
        <v>175</v>
      </c>
      <c r="AF152" s="11">
        <f>SUBTOTAL(3,_xlfn.SINGLE(tbl_tags[RowId]))</f>
        <v>1</v>
      </c>
    </row>
    <row r="153" spans="5:32">
      <c r="E153" t="str">
        <f>IF(G153&lt;&gt;tbl_tags[[#This Row],[Tags]],"X","")</f>
        <v>X</v>
      </c>
      <c r="G153" s="258" t="s">
        <v>2380</v>
      </c>
      <c r="J153" s="4">
        <v>130</v>
      </c>
      <c r="K153" s="20" t="s">
        <v>46</v>
      </c>
      <c r="L153" s="4">
        <v>1</v>
      </c>
      <c r="M153" s="21" t="str">
        <f>HYPERLINK("obsidian://open?vault=o2&amp;file=MD%20Web%20Clipper%20User%20Guide.md","MD Web Clipper User Guide")</f>
        <v>MD Web Clipper User Guide</v>
      </c>
      <c r="N153" s="11" t="s">
        <v>175</v>
      </c>
      <c r="AF153" s="11">
        <f>SUBTOTAL(3,_xlfn.SINGLE(tbl_tags[RowId]))</f>
        <v>1</v>
      </c>
    </row>
    <row r="154" spans="5:32">
      <c r="E154" t="str">
        <f>IF(G154&lt;&gt;tbl_tags[[#This Row],[Tags]],"X","")</f>
        <v>X</v>
      </c>
      <c r="G154" s="259" t="s">
        <v>2381</v>
      </c>
      <c r="J154" s="4">
        <v>131</v>
      </c>
      <c r="K154" s="20" t="s">
        <v>2380</v>
      </c>
      <c r="L154" s="4">
        <v>1</v>
      </c>
      <c r="M154" s="21" t="str">
        <f>HYPERLINK("obsidian://open?vault=o2&amp;file=Python%20Style%20Guide.md","Python Style Guide")</f>
        <v>Python Style Guide</v>
      </c>
      <c r="N154" s="11" t="s">
        <v>175</v>
      </c>
      <c r="AF154" s="11">
        <f>SUBTOTAL(3,_xlfn.SINGLE(tbl_tags[RowId]))</f>
        <v>1</v>
      </c>
    </row>
    <row r="155" spans="5:32">
      <c r="E155" t="str">
        <f>IF(G155&lt;&gt;tbl_tags[[#This Row],[Tags]],"X","")</f>
        <v>X</v>
      </c>
      <c r="G155" s="258" t="s">
        <v>2382</v>
      </c>
      <c r="J155" s="4">
        <v>132</v>
      </c>
      <c r="K155" s="20" t="s">
        <v>2381</v>
      </c>
      <c r="L155" s="4">
        <v>1</v>
      </c>
      <c r="M155" s="21" t="str">
        <f>HYPERLINK("obsidian://open?vault=o2&amp;file=Setup%20Servarr.md","Setup Servarr")</f>
        <v>Setup Servarr</v>
      </c>
      <c r="N155" s="11" t="s">
        <v>175</v>
      </c>
      <c r="AF155" s="11">
        <f>SUBTOTAL(3,_xlfn.SINGLE(tbl_tags[RowId]))</f>
        <v>1</v>
      </c>
    </row>
    <row r="156" spans="5:32">
      <c r="E156" t="str">
        <f>IF(G156&lt;&gt;tbl_tags[[#This Row],[Tags]],"X","")</f>
        <v>X</v>
      </c>
      <c r="G156" s="259" t="s">
        <v>2383</v>
      </c>
      <c r="J156" s="4">
        <v>133</v>
      </c>
      <c r="K156" s="20" t="s">
        <v>2382</v>
      </c>
      <c r="L156" s="4">
        <v>1</v>
      </c>
      <c r="M156" s="21" t="str">
        <f>HYPERLINK("obsidian://open?vault=o2&amp;file=What%20is%20Thread%20and%20how%20will%20it%20help%20your%20smart%20home.md","What is Thread and how will it help your smart home")</f>
        <v>What is Thread and how will it help your smart home</v>
      </c>
      <c r="N156" s="11" t="s">
        <v>175</v>
      </c>
      <c r="AF156" s="11">
        <f>SUBTOTAL(3,_xlfn.SINGLE(tbl_tags[RowId]))</f>
        <v>1</v>
      </c>
    </row>
    <row r="157" spans="5:32">
      <c r="E157" t="str">
        <f>IF(G157&lt;&gt;tbl_tags[[#This Row],[Tags]],"X","")</f>
        <v>X</v>
      </c>
      <c r="G157" s="258" t="s">
        <v>2384</v>
      </c>
      <c r="J157" s="4">
        <v>134</v>
      </c>
      <c r="K157" s="20" t="s">
        <v>2383</v>
      </c>
      <c r="L157" s="4">
        <v>1</v>
      </c>
      <c r="M157" s="21" t="str">
        <f>HYPERLINK("obsidian://open?vault=o2&amp;file=Setup%20Servarr.md","Setup Servarr")</f>
        <v>Setup Servarr</v>
      </c>
      <c r="N157" s="11" t="s">
        <v>175</v>
      </c>
      <c r="AF157" s="11">
        <f>SUBTOTAL(3,_xlfn.SINGLE(tbl_tags[RowId]))</f>
        <v>1</v>
      </c>
    </row>
    <row r="158" spans="5:32">
      <c r="E158" t="str">
        <f>IF(G158&lt;&gt;tbl_tags[[#This Row],[Tags]],"X","")</f>
        <v>X</v>
      </c>
      <c r="G158" s="259" t="s">
        <v>2385</v>
      </c>
      <c r="J158" s="4">
        <v>135</v>
      </c>
      <c r="K158" s="20" t="s">
        <v>2384</v>
      </c>
      <c r="L158" s="4">
        <v>1</v>
      </c>
      <c r="M158" s="21" t="str">
        <f>HYPERLINK("obsidian://open?vault=o2&amp;file=How%20to%20Disable%20IPV6.md","How to Disable IPV6")</f>
        <v>How to Disable IPV6</v>
      </c>
      <c r="N158" s="11" t="s">
        <v>175</v>
      </c>
      <c r="AF158" s="11">
        <f>SUBTOTAL(3,_xlfn.SINGLE(tbl_tags[RowId]))</f>
        <v>1</v>
      </c>
    </row>
    <row r="159" spans="5:32">
      <c r="E159" t="str">
        <f>IF(G159&lt;&gt;tbl_tags[[#This Row],[Tags]],"X","")</f>
        <v>X</v>
      </c>
      <c r="G159" s="258" t="s">
        <v>2386</v>
      </c>
      <c r="J159" s="4">
        <v>136</v>
      </c>
      <c r="K159" s="20" t="s">
        <v>2385</v>
      </c>
      <c r="L159" s="4">
        <v>2</v>
      </c>
      <c r="M159" s="21" t="str">
        <f>HYPERLINK("obsidian://open?vault=o2&amp;file=Setup%20Servarr.md","Setup Servarr")</f>
        <v>Setup Servarr</v>
      </c>
      <c r="N159" s="11" t="s">
        <v>175</v>
      </c>
      <c r="O159" s="21" t="str">
        <f>HYPERLINK("obsidian://open?vault=o2&amp;file=Setup%20Sabnzbd.md","Setup Sabnzbd")</f>
        <v>Setup Sabnzbd</v>
      </c>
      <c r="P159" s="11" t="s">
        <v>175</v>
      </c>
      <c r="AF159" s="11">
        <f>SUBTOTAL(3,_xlfn.SINGLE(tbl_tags[RowId]))</f>
        <v>1</v>
      </c>
    </row>
    <row r="160" spans="5:32">
      <c r="E160" t="str">
        <f>IF(G160&lt;&gt;tbl_tags[[#This Row],[Tags]],"X","")</f>
        <v>X</v>
      </c>
      <c r="G160" s="259" t="s">
        <v>2387</v>
      </c>
      <c r="J160" s="4">
        <v>137</v>
      </c>
      <c r="K160" s="20" t="s">
        <v>2386</v>
      </c>
      <c r="L160" s="4">
        <v>1</v>
      </c>
      <c r="M160" s="21" t="str">
        <f>HYPERLINK("obsidian://open?vault=o2&amp;file=cPanel%20Alternatives.md","cPanel Alternatives")</f>
        <v>cPanel Alternatives</v>
      </c>
      <c r="N160" s="11" t="s">
        <v>175</v>
      </c>
      <c r="AF160" s="11">
        <f>SUBTOTAL(3,_xlfn.SINGLE(tbl_tags[RowId]))</f>
        <v>1</v>
      </c>
    </row>
    <row r="161" spans="5:32">
      <c r="E161" t="str">
        <f>IF(G161&lt;&gt;tbl_tags[[#This Row],[Tags]],"X","")</f>
        <v>X</v>
      </c>
      <c r="G161" s="258" t="s">
        <v>2388</v>
      </c>
      <c r="J161" s="4">
        <v>138</v>
      </c>
      <c r="K161" s="20" t="s">
        <v>2387</v>
      </c>
      <c r="L161" s="4">
        <v>26</v>
      </c>
      <c r="M161" s="21" t="str">
        <f>HYPERLINK("obsidian://open?vault=o2&amp;file=%F0%9F%93%8C%20Cheatsheet%20Library%20Kanban.md","📌 Cheatsheet Library Kanban")</f>
        <v>📌 Cheatsheet Library Kanban</v>
      </c>
      <c r="N161" s="11" t="s">
        <v>175</v>
      </c>
      <c r="O161" s="21" t="str">
        <f>HYPERLINK("obsidian://open?vault=o2&amp;file=%F0%9F%93%8C%20Debug%20metaCatchall.md","📌 Debug metaCatchall")</f>
        <v>📌 Debug metaCatchall</v>
      </c>
      <c r="P161" s="11" t="s">
        <v>175</v>
      </c>
      <c r="Q161" s="21" t="str">
        <f>HYPERLINK("obsidian://open?vault=o2&amp;file=%F0%9F%93%8C%20Debug%20metaCatchall.md","📌 Debug metaCatchall")</f>
        <v>📌 Debug metaCatchall</v>
      </c>
      <c r="R161" s="11" t="s">
        <v>175</v>
      </c>
      <c r="S161" s="21" t="str">
        <f>HYPERLINK("obsidian://open?vault=o2&amp;file=%F0%9F%93%8C%20Home%20Project%20Kanban.md","📌 Home Project Kanban")</f>
        <v>📌 Home Project Kanban</v>
      </c>
      <c r="T161" s="11" t="s">
        <v>175</v>
      </c>
      <c r="U161" s="21" t="str">
        <f>HYPERLINK("obsidian://open?vault=o2&amp;file=%F0%9F%93%8C%20Image%20Categorization%20Kanban.md","📌 Image Categorization Kanban")</f>
        <v>📌 Image Categorization Kanban</v>
      </c>
      <c r="V161" s="11" t="s">
        <v>175</v>
      </c>
      <c r="W161" s="21" t="str">
        <f>HYPERLINK("obsidian://open?vault=o2&amp;file=%F0%9F%93%8C%20Image%20Categorization%20Kanban.md","📌 Image Categorization Kanban")</f>
        <v>📌 Image Categorization Kanban</v>
      </c>
      <c r="X161" s="11" t="s">
        <v>175</v>
      </c>
      <c r="Y161" s="21" t="str">
        <f>HYPERLINK("obsidian://open?vault=o2&amp;file=%F0%9F%93%8C%20Learning%20iOS%20Kanban.md","📌 Learning iOS Kanban")</f>
        <v>📌 Learning iOS Kanban</v>
      </c>
      <c r="Z161" s="11" t="s">
        <v>175</v>
      </c>
      <c r="AA161" s="21" t="str">
        <f>HYPERLINK("obsidian://open?vault=o2&amp;file=%F0%9F%93%8C%20Media%20Project%20Kanban.md","📌 Media Project Kanban")</f>
        <v>📌 Media Project Kanban</v>
      </c>
      <c r="AB161" s="11" t="s">
        <v>175</v>
      </c>
      <c r="AC161" s="21" t="str">
        <f>HYPERLINK("obsidian://open?vault=o2&amp;file=%F0%9F%93%8C%20Money%20Management%20Kanban.md","📌 Money Management Kanban")</f>
        <v>📌 Money Management Kanban</v>
      </c>
      <c r="AD161" s="11" t="s">
        <v>175</v>
      </c>
      <c r="AE161" s="21" t="str">
        <f>HYPERLINK("obsidian://open?vault=o2&amp;file=%F0%9F%93%8C%20My%20Daily%20Kanban.md","📌 My Daily Kanban")</f>
        <v>📌 My Daily Kanban</v>
      </c>
      <c r="AF161" s="11">
        <f>SUBTOTAL(3,_xlfn.SINGLE(tbl_tags[RowId]))</f>
        <v>1</v>
      </c>
    </row>
    <row r="162" spans="5:32">
      <c r="E162" t="str">
        <f>IF(G162&lt;&gt;tbl_tags[[#This Row],[Tags]],"X","")</f>
        <v>X</v>
      </c>
      <c r="G162" s="259" t="s">
        <v>2389</v>
      </c>
      <c r="J162" s="4">
        <v>139</v>
      </c>
      <c r="K162" s="20" t="s">
        <v>2388</v>
      </c>
      <c r="L162" s="4">
        <v>1</v>
      </c>
      <c r="M162" s="21" t="str">
        <f>HYPERLINK("obsidian://open?vault=o2&amp;file=22%20FREE%20Windows%20Utilities%20EVERY%20User%20MUST%20Know%20About%21.md","22 FREE Windows Utilities EVERY User MUST Know About!")</f>
        <v>22 FREE Windows Utilities EVERY User MUST Know About!</v>
      </c>
      <c r="N162" s="11" t="s">
        <v>175</v>
      </c>
      <c r="AF162" s="11">
        <f>SUBTOTAL(3,_xlfn.SINGLE(tbl_tags[RowId]))</f>
        <v>1</v>
      </c>
    </row>
    <row r="163" spans="5:32">
      <c r="E163" t="str">
        <f>IF(G163&lt;&gt;tbl_tags[[#This Row],[Tags]],"X","")</f>
        <v>X</v>
      </c>
      <c r="G163" s="258" t="s">
        <v>1411</v>
      </c>
      <c r="J163" s="4">
        <v>140</v>
      </c>
      <c r="K163" s="20" t="s">
        <v>2389</v>
      </c>
      <c r="L163" s="4">
        <v>1</v>
      </c>
      <c r="M163" s="21" t="str">
        <f>HYPERLINK("obsidian://open?vault=o2&amp;file=Dewey%20Decimal%20Classifications.md","Dewey Decimal Classifications")</f>
        <v>Dewey Decimal Classifications</v>
      </c>
      <c r="N163" s="11" t="s">
        <v>175</v>
      </c>
      <c r="AF163" s="11">
        <f>SUBTOTAL(3,_xlfn.SINGLE(tbl_tags[RowId]))</f>
        <v>1</v>
      </c>
    </row>
    <row r="164" spans="5:32">
      <c r="E164" t="str">
        <f>IF(G164&lt;&gt;tbl_tags[[#This Row],[Tags]],"X","")</f>
        <v>X</v>
      </c>
      <c r="G164" s="259" t="s">
        <v>2390</v>
      </c>
      <c r="J164" s="4">
        <v>141</v>
      </c>
      <c r="K164" s="20" t="s">
        <v>1411</v>
      </c>
      <c r="L164" s="4">
        <v>1</v>
      </c>
      <c r="M164" s="21" t="str">
        <f>HYPERLINK("obsidian://open?vault=o2&amp;file=Setup%20Servarr.md","Setup Servarr")</f>
        <v>Setup Servarr</v>
      </c>
      <c r="N164" s="11" t="s">
        <v>175</v>
      </c>
      <c r="AF164" s="11">
        <f>SUBTOTAL(3,_xlfn.SINGLE(tbl_tags[RowId]))</f>
        <v>1</v>
      </c>
    </row>
    <row r="165" spans="5:32">
      <c r="E165" t="str">
        <f>IF(G165&lt;&gt;tbl_tags[[#This Row],[Tags]],"X","")</f>
        <v>X</v>
      </c>
      <c r="G165" s="258" t="s">
        <v>2391</v>
      </c>
      <c r="J165" s="4">
        <v>142</v>
      </c>
      <c r="K165" s="20" t="s">
        <v>2390</v>
      </c>
      <c r="L165" s="4">
        <v>1</v>
      </c>
      <c r="M165" s="21" t="str">
        <f>HYPERLINK("obsidian://open?vault=o2&amp;file=Python%20Style%20Guide.md","Python Style Guide")</f>
        <v>Python Style Guide</v>
      </c>
      <c r="N165" s="11" t="s">
        <v>175</v>
      </c>
      <c r="AF165" s="11">
        <f>SUBTOTAL(3,_xlfn.SINGLE(tbl_tags[RowId]))</f>
        <v>1</v>
      </c>
    </row>
    <row r="166" spans="5:32">
      <c r="E166" t="str">
        <f>IF(G166&lt;&gt;tbl_tags[[#This Row],[Tags]],"X","")</f>
        <v>X</v>
      </c>
      <c r="G166" s="259" t="s">
        <v>2392</v>
      </c>
      <c r="J166" s="4">
        <v>143</v>
      </c>
      <c r="K166" s="20" t="s">
        <v>2391</v>
      </c>
      <c r="L166" s="4">
        <v>1</v>
      </c>
      <c r="M166" s="21" t="str">
        <f>HYPERLINK("obsidian://open?vault=o2&amp;file=Roboform%20License.md","Roboform License")</f>
        <v>Roboform License</v>
      </c>
      <c r="N166" s="11" t="s">
        <v>175</v>
      </c>
      <c r="AF166" s="11">
        <f>SUBTOTAL(3,_xlfn.SINGLE(tbl_tags[RowId]))</f>
        <v>1</v>
      </c>
    </row>
    <row r="167" spans="5:32">
      <c r="E167" t="str">
        <f>IF(G167&lt;&gt;tbl_tags[[#This Row],[Tags]],"X","")</f>
        <v>X</v>
      </c>
      <c r="G167" s="258" t="s">
        <v>2393</v>
      </c>
      <c r="J167" s="4">
        <v>144</v>
      </c>
      <c r="K167" s="20" t="s">
        <v>2392</v>
      </c>
      <c r="L167" s="4">
        <v>2</v>
      </c>
      <c r="M167" s="21" t="str">
        <f>HYPERLINK("obsidian://open?vault=o2&amp;file=Setup%20Servarr.md","Setup Servarr")</f>
        <v>Setup Servarr</v>
      </c>
      <c r="N167" s="11" t="s">
        <v>175</v>
      </c>
      <c r="O167" s="21" t="str">
        <f>HYPERLINK("obsidian://open?vault=o2&amp;file=Setup%20Sabnzbd.md","Setup Sabnzbd")</f>
        <v>Setup Sabnzbd</v>
      </c>
      <c r="P167" s="11" t="s">
        <v>175</v>
      </c>
      <c r="AF167" s="11">
        <f>SUBTOTAL(3,_xlfn.SINGLE(tbl_tags[RowId]))</f>
        <v>1</v>
      </c>
    </row>
    <row r="168" spans="5:32">
      <c r="E168" t="str">
        <f>IF(G168&lt;&gt;tbl_tags[[#This Row],[Tags]],"X","")</f>
        <v>X</v>
      </c>
      <c r="G168" s="259" t="s">
        <v>2394</v>
      </c>
      <c r="J168" s="4">
        <v>145</v>
      </c>
      <c r="K168" s="20" t="s">
        <v>2393</v>
      </c>
      <c r="L168" s="4">
        <v>1</v>
      </c>
      <c r="M168" s="21" t="str">
        <f>HYPERLINK("obsidian://open?vault=o2&amp;file=Free%20Lightroom%20Tutorial%20%20Adobe%20Lightroom%20Essentials%20Training%20Course.md","Free Lightroom Tutorial  Adobe Lightroom Essentials Training Course")</f>
        <v>Free Lightroom Tutorial  Adobe Lightroom Essentials Training Course</v>
      </c>
      <c r="N168" s="11" t="s">
        <v>175</v>
      </c>
      <c r="AF168" s="11">
        <f>SUBTOTAL(3,_xlfn.SINGLE(tbl_tags[RowId]))</f>
        <v>1</v>
      </c>
    </row>
    <row r="169" spans="5:32">
      <c r="E169" t="str">
        <f>IF(G169&lt;&gt;tbl_tags[[#This Row],[Tags]],"X","")</f>
        <v>X</v>
      </c>
      <c r="G169" s="258" t="s">
        <v>2395</v>
      </c>
      <c r="J169" s="4">
        <v>146</v>
      </c>
      <c r="K169" s="20" t="s">
        <v>2394</v>
      </c>
      <c r="L169" s="4">
        <v>1</v>
      </c>
      <c r="M169" s="21" t="str">
        <f>HYPERLINK("obsidian://open?vault=o2&amp;file=Python%20Style%20Guide.md","Python Style Guide")</f>
        <v>Python Style Guide</v>
      </c>
      <c r="N169" s="11" t="s">
        <v>175</v>
      </c>
      <c r="AF169" s="11">
        <f>SUBTOTAL(3,_xlfn.SINGLE(tbl_tags[RowId]))</f>
        <v>1</v>
      </c>
    </row>
    <row r="170" spans="5:32">
      <c r="E170" t="str">
        <f>IF(G170&lt;&gt;tbl_tags[[#This Row],[Tags]],"X","")</f>
        <v>X</v>
      </c>
      <c r="G170" s="259" t="s">
        <v>709</v>
      </c>
      <c r="J170" s="4">
        <v>147</v>
      </c>
      <c r="K170" s="20" t="s">
        <v>2395</v>
      </c>
      <c r="L170" s="4">
        <v>3</v>
      </c>
      <c r="M170" s="21" t="str">
        <f>HYPERLINK("obsidian://open?vault=o2&amp;file=Set%20Up%20and%20Secure%20a%20Compute%20Instance.md","Set Up and Secure a Compute Instance")</f>
        <v>Set Up and Secure a Compute Instance</v>
      </c>
      <c r="N170" s="11" t="s">
        <v>175</v>
      </c>
      <c r="O170" s="21" t="str">
        <f>HYPERLINK("obsidian://open?vault=o2&amp;file=Software%20under%20the%20Virtualmin%20Professional%20Plan.md","Software under the Virtualmin Professional Plan")</f>
        <v>Software under the Virtualmin Professional Plan</v>
      </c>
      <c r="P170" s="11" t="s">
        <v>175</v>
      </c>
      <c r="Q170" s="21" t="str">
        <f>HYPERLINK("obsidian://open?vault=o2&amp;file=Create%20Linode%20Instance.md","Create Linode Instance")</f>
        <v>Create Linode Instance</v>
      </c>
      <c r="R170" s="11" t="s">
        <v>175</v>
      </c>
      <c r="AF170" s="11">
        <f>SUBTOTAL(3,_xlfn.SINGLE(tbl_tags[RowId]))</f>
        <v>1</v>
      </c>
    </row>
    <row r="171" spans="5:32">
      <c r="E171" t="str">
        <f>IF(G171&lt;&gt;tbl_tags[[#This Row],[Tags]],"X","")</f>
        <v>X</v>
      </c>
      <c r="G171" s="258" t="s">
        <v>2396</v>
      </c>
      <c r="J171" s="4">
        <v>148</v>
      </c>
      <c r="K171" s="20" t="s">
        <v>709</v>
      </c>
      <c r="L171" s="4">
        <v>12</v>
      </c>
      <c r="M171" s="21" t="str">
        <f>HYPERLINK("obsidian://open?vault=o2&amp;file=Setup%20a%20VPN%20on%20your%20network.md","Setup a VPN on your network")</f>
        <v>Setup a VPN on your network</v>
      </c>
      <c r="N171" s="11" t="s">
        <v>175</v>
      </c>
      <c r="O171" s="21" t="str">
        <f>HYPERLINK("obsidian://open?vault=o2&amp;file=Setup%20bash%20and%20VIM.md","Setup bash and VIM")</f>
        <v>Setup bash and VIM</v>
      </c>
      <c r="P171" s="11" t="s">
        <v>175</v>
      </c>
      <c r="Q171" s="21" t="str">
        <f>HYPERLINK("obsidian://open?vault=o2&amp;file=Setup%20Certificate.md","Setup Certificate")</f>
        <v>Setup Certificate</v>
      </c>
      <c r="R171" s="11" t="s">
        <v>175</v>
      </c>
      <c r="S171" s="21" t="str">
        <f>HYPERLINK("obsidian://open?vault=o2&amp;file=Setup%20Cloudflare.md","Setup Cloudflare")</f>
        <v>Setup Cloudflare</v>
      </c>
      <c r="T171" s="11" t="s">
        <v>175</v>
      </c>
      <c r="U171" s="21" t="str">
        <f>HYPERLINK("obsidian://open?vault=o2&amp;file=The%20usermod%20command.md","The usermod command")</f>
        <v>The usermod command</v>
      </c>
      <c r="V171" s="11" t="s">
        <v>175</v>
      </c>
      <c r="W171" s="21" t="str">
        <f>HYPERLINK("obsidian://open?vault=o2&amp;file=Vim%20Cheatsheet.md","Vim Cheatsheet")</f>
        <v>Vim Cheatsheet</v>
      </c>
      <c r="X171" s="11" t="s">
        <v>175</v>
      </c>
      <c r="Y171" s="21" t="str">
        <f>HYPERLINK("obsidian://open?vault=o2&amp;file=Free%20DNS%20Servers.md","Free DNS Servers")</f>
        <v>Free DNS Servers</v>
      </c>
      <c r="Z171" s="11" t="s">
        <v>175</v>
      </c>
      <c r="AA171" s="21" t="str">
        <f>HYPERLINK("obsidian://open?vault=o2&amp;file=%E2%9A%A1%20CasaOS%20Project.md","⚡ CasaOS Project")</f>
        <v>⚡ CasaOS Project</v>
      </c>
      <c r="AB171" s="11" t="s">
        <v>175</v>
      </c>
      <c r="AC171" s="21" t="str">
        <f>HYPERLINK("obsidian://open?vault=o2&amp;file=Set%20Up%20and%20Secure%20a%20Compute%20Instance.md","Set Up and Secure a Compute Instance")</f>
        <v>Set Up and Secure a Compute Instance</v>
      </c>
      <c r="AD171" s="11" t="s">
        <v>175</v>
      </c>
      <c r="AE171" s="21" t="str">
        <f>HYPERLINK("obsidian://open?vault=o2&amp;file=%E2%9A%A1%20Setup%20Linode%20Server%20Project.md","⚡ Setup Linode Server Project")</f>
        <v>⚡ Setup Linode Server Project</v>
      </c>
      <c r="AF171" s="11">
        <f>SUBTOTAL(3,_xlfn.SINGLE(tbl_tags[RowId]))</f>
        <v>1</v>
      </c>
    </row>
    <row r="172" spans="5:32">
      <c r="E172" t="str">
        <f>IF(G172&lt;&gt;tbl_tags[[#This Row],[Tags]],"X","")</f>
        <v>X</v>
      </c>
      <c r="G172" s="259" t="s">
        <v>2397</v>
      </c>
      <c r="J172" s="4">
        <v>149</v>
      </c>
      <c r="K172" s="20" t="s">
        <v>2396</v>
      </c>
      <c r="L172" s="4">
        <v>1</v>
      </c>
      <c r="M172" s="21" t="str">
        <f>HYPERLINK("obsidian://open?vault=o2&amp;file=2025-01-27.md","2025-01-27")</f>
        <v>2025-01-27</v>
      </c>
      <c r="N172" s="11" t="s">
        <v>175</v>
      </c>
      <c r="AF172" s="11">
        <f>SUBTOTAL(3,_xlfn.SINGLE(tbl_tags[RowId]))</f>
        <v>1</v>
      </c>
    </row>
    <row r="173" spans="5:32">
      <c r="E173" t="str">
        <f>IF(G173&lt;&gt;tbl_tags[[#This Row],[Tags]],"X","")</f>
        <v>X</v>
      </c>
      <c r="G173" s="258" t="s">
        <v>2398</v>
      </c>
      <c r="J173" s="4">
        <v>150</v>
      </c>
      <c r="K173" s="20" t="s">
        <v>2397</v>
      </c>
      <c r="L173" s="4">
        <v>1</v>
      </c>
      <c r="M173" s="21" t="str">
        <f>HYPERLINK("obsidian://open?vault=o2&amp;file=Setup%20Servarr.md","Setup Servarr")</f>
        <v>Setup Servarr</v>
      </c>
      <c r="N173" s="11" t="s">
        <v>175</v>
      </c>
      <c r="AF173" s="11">
        <f>SUBTOTAL(3,_xlfn.SINGLE(tbl_tags[RowId]))</f>
        <v>1</v>
      </c>
    </row>
    <row r="174" spans="5:32">
      <c r="E174" t="str">
        <f>IF(G174&lt;&gt;tbl_tags[[#This Row],[Tags]],"X","")</f>
        <v>X</v>
      </c>
      <c r="G174" s="259" t="s">
        <v>2399</v>
      </c>
      <c r="J174" s="4">
        <v>151</v>
      </c>
      <c r="K174" s="20" t="s">
        <v>2398</v>
      </c>
      <c r="L174" s="4">
        <v>1</v>
      </c>
      <c r="M174" s="21" t="str">
        <f>HYPERLINK("obsidian://open?vault=o2&amp;file=Fix%20Hue%20Lights.md","Fix Hue Lights")</f>
        <v>Fix Hue Lights</v>
      </c>
      <c r="N174" s="11" t="s">
        <v>175</v>
      </c>
      <c r="AF174" s="11">
        <f>SUBTOTAL(3,_xlfn.SINGLE(tbl_tags[RowId]))</f>
        <v>1</v>
      </c>
    </row>
    <row r="175" spans="5:32">
      <c r="E175" t="str">
        <f>IF(G175&lt;&gt;tbl_tags[[#This Row],[Tags]],"X","")</f>
        <v>X</v>
      </c>
      <c r="G175" s="258" t="s">
        <v>2400</v>
      </c>
      <c r="J175" s="4">
        <v>152</v>
      </c>
      <c r="K175" s="20" t="s">
        <v>2399</v>
      </c>
      <c r="L175" s="4">
        <v>1</v>
      </c>
      <c r="M175" s="21" t="str">
        <f>HYPERLINK("obsidian://open?vault=o2&amp;file=Dewey%20Decimal%20Classifications.md","Dewey Decimal Classifications")</f>
        <v>Dewey Decimal Classifications</v>
      </c>
      <c r="N175" s="11" t="s">
        <v>175</v>
      </c>
      <c r="AF175" s="11">
        <f>SUBTOTAL(3,_xlfn.SINGLE(tbl_tags[RowId]))</f>
        <v>1</v>
      </c>
    </row>
    <row r="176" spans="5:32">
      <c r="E176" t="str">
        <f>IF(G176&lt;&gt;tbl_tags[[#This Row],[Tags]],"X","")</f>
        <v>X</v>
      </c>
      <c r="G176" s="259" t="s">
        <v>2401</v>
      </c>
      <c r="J176" s="4">
        <v>153</v>
      </c>
      <c r="K176" s="20" t="s">
        <v>2400</v>
      </c>
      <c r="L176" s="4">
        <v>2</v>
      </c>
      <c r="M176" s="21" t="str">
        <f>HYPERLINK("obsidian://open?vault=o2&amp;file=Advanced%20regular%20expression%20features%20to%20match%20Markdown%20links.md","Advanced regular expression features to match Markdown links")</f>
        <v>Advanced regular expression features to match Markdown links</v>
      </c>
      <c r="N176" s="11" t="s">
        <v>175</v>
      </c>
      <c r="O176" s="21" t="str">
        <f>HYPERLINK("obsidian://open?vault=o2&amp;file=MD%20Web%20Clipper%20User%20Guide.md","MD Web Clipper User Guide")</f>
        <v>MD Web Clipper User Guide</v>
      </c>
      <c r="P176" s="11" t="s">
        <v>175</v>
      </c>
      <c r="AF176" s="11">
        <f>SUBTOTAL(3,_xlfn.SINGLE(tbl_tags[RowId]))</f>
        <v>1</v>
      </c>
    </row>
    <row r="177" spans="5:32">
      <c r="E177" t="str">
        <f>IF(G177&lt;&gt;tbl_tags[[#This Row],[Tags]],"X","")</f>
        <v>X</v>
      </c>
      <c r="G177" s="258" t="s">
        <v>2402</v>
      </c>
      <c r="J177" s="4">
        <v>154</v>
      </c>
      <c r="K177" s="20" t="s">
        <v>2401</v>
      </c>
      <c r="L177" s="4">
        <v>4</v>
      </c>
      <c r="M177" s="21" t="str">
        <f>HYPERLINK("obsidian://open?vault=o2&amp;file=Managing%20appearance%20and%20theme.md","Managing appearance and theme")</f>
        <v>Managing appearance and theme</v>
      </c>
      <c r="N177" s="11" t="s">
        <v>175</v>
      </c>
      <c r="O177" s="21" t="str">
        <f>HYPERLINK("obsidian://open?vault=o2&amp;file=Managing%20inputs.md","Managing inputs")</f>
        <v>Managing inputs</v>
      </c>
      <c r="P177" s="11" t="s">
        <v>175</v>
      </c>
      <c r="Q177" s="21" t="str">
        <f>HYPERLINK("obsidian://open?vault=o2&amp;file=Template%20Debrief.md","Template Debrief")</f>
        <v>Template Debrief</v>
      </c>
      <c r="R177" s="11" t="s">
        <v>175</v>
      </c>
      <c r="S177" s="21" t="str">
        <f>HYPERLINK("obsidian://open?vault=o2&amp;file=Turning%20notes%20into%20content.md","Turning notes into content")</f>
        <v>Turning notes into content</v>
      </c>
      <c r="T177" s="11" t="s">
        <v>175</v>
      </c>
      <c r="AF177" s="11">
        <f>SUBTOTAL(3,_xlfn.SINGLE(tbl_tags[RowId]))</f>
        <v>1</v>
      </c>
    </row>
    <row r="178" spans="5:32">
      <c r="E178" t="str">
        <f>IF(G178&lt;&gt;tbl_tags[[#This Row],[Tags]],"X","")</f>
        <v>X</v>
      </c>
      <c r="G178" s="259" t="s">
        <v>1306</v>
      </c>
      <c r="J178" s="4">
        <v>155</v>
      </c>
      <c r="K178" s="20" t="s">
        <v>2402</v>
      </c>
      <c r="L178" s="4">
        <v>7</v>
      </c>
      <c r="M178" s="21" t="str">
        <f>HYPERLINK("obsidian://open?vault=o2&amp;file=Peel-and-Eat%20Spiced%20Shrimp%20with%20Chipotle%20R%C3%A9moulade.md","Peel-and-Eat Spiced Shrimp with Chipotle Rémoulade")</f>
        <v>Peel-and-Eat Spiced Shrimp with Chipotle Rémoulade</v>
      </c>
      <c r="N178" s="11" t="s">
        <v>175</v>
      </c>
      <c r="O178" s="21" t="str">
        <f>HYPERLINK("obsidian://open?vault=o2&amp;file=Vim%20Cheatsheet.md","Vim Cheatsheet")</f>
        <v>Vim Cheatsheet</v>
      </c>
      <c r="P178" s="11" t="s">
        <v>175</v>
      </c>
      <c r="Q178" s="21" t="str">
        <f>HYPERLINK("obsidian://open?vault=o2&amp;file=Install%20Nginx%20Proxy%20Manager%20on%20CasaOS.md","Install Nginx Proxy Manager on CasaOS")</f>
        <v>Install Nginx Proxy Manager on CasaOS</v>
      </c>
      <c r="R178" s="11" t="s">
        <v>175</v>
      </c>
      <c r="S178"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T178" s="11" t="s">
        <v>175</v>
      </c>
      <c r="U178"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V178" s="11" t="s">
        <v>175</v>
      </c>
      <c r="W178" s="21" t="str">
        <f>HYPERLINK("obsidian://open?vault=o2&amp;file=Moving%20Checklist%20A%20Timeline%20for%20Your%20Upcoming%20Move%20%20Moving.com.md","Moving Checklist A Timeline for Your Upcoming Move  Moving.com")</f>
        <v>Moving Checklist A Timeline for Your Upcoming Move  Moving.com</v>
      </c>
      <c r="X178" s="11" t="s">
        <v>175</v>
      </c>
      <c r="Y178" s="21" t="str">
        <f>HYPERLINK("obsidian://open?vault=o2&amp;file=2023-09-01.md","2023-09-01")</f>
        <v>2023-09-01</v>
      </c>
      <c r="Z178" s="11" t="s">
        <v>175</v>
      </c>
      <c r="AF178" s="11">
        <f>SUBTOTAL(3,_xlfn.SINGLE(tbl_tags[RowId]))</f>
        <v>1</v>
      </c>
    </row>
    <row r="179" spans="5:32">
      <c r="E179" t="str">
        <f>IF(G179&lt;&gt;tbl_tags[[#This Row],[Tags]],"X","")</f>
        <v>X</v>
      </c>
      <c r="G179" s="258" t="s">
        <v>2403</v>
      </c>
      <c r="J179" s="4">
        <v>156</v>
      </c>
      <c r="K179" s="20" t="s">
        <v>1306</v>
      </c>
      <c r="L179" s="4">
        <v>1</v>
      </c>
      <c r="M179" s="21" t="str">
        <f>HYPERLINK("obsidian://open?vault=o2&amp;file=Setup%20Deluge.md","Setup Deluge")</f>
        <v>Setup Deluge</v>
      </c>
      <c r="N179" s="11" t="s">
        <v>175</v>
      </c>
      <c r="AF179" s="11">
        <f>SUBTOTAL(3,_xlfn.SINGLE(tbl_tags[RowId]))</f>
        <v>1</v>
      </c>
    </row>
    <row r="180" spans="5:32">
      <c r="E180" t="str">
        <f>IF(G180&lt;&gt;tbl_tags[[#This Row],[Tags]],"X","")</f>
        <v>X</v>
      </c>
      <c r="G180" s="259" t="s">
        <v>2404</v>
      </c>
      <c r="J180" s="4">
        <v>157</v>
      </c>
      <c r="K180" s="20" t="s">
        <v>2403</v>
      </c>
      <c r="L180" s="4">
        <v>2</v>
      </c>
      <c r="M180" s="21" t="str">
        <f>HYPERLINK("obsidian://open?vault=o2&amp;file=60%20Affirmations.md","60 Affirmations")</f>
        <v>60 Affirmations</v>
      </c>
      <c r="N180" s="11" t="s">
        <v>175</v>
      </c>
      <c r="O180" s="21" t="str">
        <f>HYPERLINK("obsidian://open?vault=o2&amp;file=Morning%20Mediatations.md","Morning Mediatations")</f>
        <v>Morning Mediatations</v>
      </c>
      <c r="P180" s="11" t="s">
        <v>175</v>
      </c>
      <c r="AF180" s="11">
        <f>SUBTOTAL(3,_xlfn.SINGLE(tbl_tags[RowId]))</f>
        <v>1</v>
      </c>
    </row>
    <row r="181" spans="5:32">
      <c r="E181" t="str">
        <f>IF(G181&lt;&gt;tbl_tags[[#This Row],[Tags]],"X","")</f>
        <v>X</v>
      </c>
      <c r="G181" s="258" t="s">
        <v>2405</v>
      </c>
      <c r="J181" s="4">
        <v>158</v>
      </c>
      <c r="K181" s="20" t="s">
        <v>2404</v>
      </c>
      <c r="L181" s="4">
        <v>1</v>
      </c>
      <c r="M181" s="21" t="str">
        <f>HYPERLINK("obsidian://open?vault=o2&amp;file=Setup%20a%20VPN%20on%20your%20network.md","Setup a VPN on your network")</f>
        <v>Setup a VPN on your network</v>
      </c>
      <c r="N181" s="11" t="s">
        <v>175</v>
      </c>
      <c r="AF181" s="11">
        <f>SUBTOTAL(3,_xlfn.SINGLE(tbl_tags[RowId]))</f>
        <v>1</v>
      </c>
    </row>
    <row r="182" spans="5:32">
      <c r="E182" t="str">
        <f>IF(G182&lt;&gt;tbl_tags[[#This Row],[Tags]],"X","")</f>
        <v>X</v>
      </c>
      <c r="G182" s="259" t="s">
        <v>2406</v>
      </c>
      <c r="J182" s="4">
        <v>159</v>
      </c>
      <c r="K182" s="20" t="s">
        <v>2405</v>
      </c>
      <c r="L182" s="4">
        <v>1</v>
      </c>
      <c r="M182" s="21" t="str">
        <f>HYPERLINK("obsidian://open?vault=o2&amp;file=personsTemplate.md","personsTemplate")</f>
        <v>personsTemplate</v>
      </c>
      <c r="N182" s="11" t="s">
        <v>175</v>
      </c>
      <c r="AF182" s="11">
        <f>SUBTOTAL(3,_xlfn.SINGLE(tbl_tags[RowId]))</f>
        <v>1</v>
      </c>
    </row>
    <row r="183" spans="5:32">
      <c r="E183" t="str">
        <f>IF(G183&lt;&gt;tbl_tags[[#This Row],[Tags]],"X","")</f>
        <v>X</v>
      </c>
      <c r="G183" s="258" t="s">
        <v>2407</v>
      </c>
      <c r="J183" s="4">
        <v>160</v>
      </c>
      <c r="K183" s="20" t="s">
        <v>2406</v>
      </c>
      <c r="L183" s="4">
        <v>1</v>
      </c>
      <c r="M183" s="21" t="str">
        <f>HYPERLINK("obsidian://open?vault=o2&amp;file=cPanel%20Alternatives.md","cPanel Alternatives")</f>
        <v>cPanel Alternatives</v>
      </c>
      <c r="N183" s="11" t="s">
        <v>175</v>
      </c>
      <c r="AF183" s="11">
        <f>SUBTOTAL(3,_xlfn.SINGLE(tbl_tags[RowId]))</f>
        <v>1</v>
      </c>
    </row>
    <row r="184" spans="5:32">
      <c r="E184" t="str">
        <f>IF(G184&lt;&gt;tbl_tags[[#This Row],[Tags]],"X","")</f>
        <v>X</v>
      </c>
      <c r="G184" s="259" t="s">
        <v>2408</v>
      </c>
      <c r="J184" s="4">
        <v>161</v>
      </c>
      <c r="K184" s="20" t="s">
        <v>2407</v>
      </c>
      <c r="L184" s="4">
        <v>1</v>
      </c>
      <c r="M184" s="21" t="str">
        <f>HYPERLINK("obsidian://open?vault=o2&amp;file=Dewey%20Decimal%20Classifications.md","Dewey Decimal Classifications")</f>
        <v>Dewey Decimal Classifications</v>
      </c>
      <c r="N184" s="11" t="s">
        <v>175</v>
      </c>
      <c r="AF184" s="11">
        <f>SUBTOTAL(3,_xlfn.SINGLE(tbl_tags[RowId]))</f>
        <v>1</v>
      </c>
    </row>
    <row r="185" spans="5:32">
      <c r="E185" t="str">
        <f>IF(G185&lt;&gt;tbl_tags[[#This Row],[Tags]],"X","")</f>
        <v>X</v>
      </c>
      <c r="G185" s="258" t="s">
        <v>2409</v>
      </c>
      <c r="J185" s="4">
        <v>162</v>
      </c>
      <c r="K185" s="20" t="s">
        <v>2408</v>
      </c>
      <c r="L185" s="4">
        <v>1</v>
      </c>
      <c r="M185" s="21" t="str">
        <f>HYPERLINK("obsidian://open?vault=o2&amp;file=Python%20Style%20Guide.md","Python Style Guide")</f>
        <v>Python Style Guide</v>
      </c>
      <c r="N185" s="11" t="s">
        <v>175</v>
      </c>
      <c r="AF185" s="11">
        <f>SUBTOTAL(3,_xlfn.SINGLE(tbl_tags[RowId]))</f>
        <v>1</v>
      </c>
    </row>
    <row r="186" spans="5:32">
      <c r="E186" t="str">
        <f>IF(G186&lt;&gt;tbl_tags[[#This Row],[Tags]],"X","")</f>
        <v>X</v>
      </c>
      <c r="G186" s="259" t="s">
        <v>1262</v>
      </c>
      <c r="J186" s="4">
        <v>163</v>
      </c>
      <c r="K186" s="20" t="s">
        <v>2409</v>
      </c>
      <c r="L186" s="4">
        <v>1</v>
      </c>
      <c r="M186" s="21" t="str">
        <f>HYPERLINK("obsidian://open?vault=o2&amp;file=2025-01-27.md","2025-01-27")</f>
        <v>2025-01-27</v>
      </c>
      <c r="N186" s="11" t="s">
        <v>175</v>
      </c>
      <c r="AF186" s="11">
        <f>SUBTOTAL(3,_xlfn.SINGLE(tbl_tags[RowId]))</f>
        <v>1</v>
      </c>
    </row>
    <row r="187" spans="5:32">
      <c r="E187" t="str">
        <f>IF(G187&lt;&gt;tbl_tags[[#This Row],[Tags]],"X","")</f>
        <v>X</v>
      </c>
      <c r="G187" s="258" t="s">
        <v>2410</v>
      </c>
      <c r="J187" s="4">
        <v>164</v>
      </c>
      <c r="K187" s="20" t="s">
        <v>1262</v>
      </c>
      <c r="L187" s="4">
        <v>1</v>
      </c>
      <c r="M187" s="21" t="str">
        <f>HYPERLINK("obsidian://open?vault=o2&amp;file=50%20Best%20Christmas%20Movies.md","50 Best Christmas Movies")</f>
        <v>50 Best Christmas Movies</v>
      </c>
      <c r="N187" s="11" t="s">
        <v>175</v>
      </c>
      <c r="AF187" s="11">
        <f>SUBTOTAL(3,_xlfn.SINGLE(tbl_tags[RowId]))</f>
        <v>1</v>
      </c>
    </row>
    <row r="188" spans="5:32">
      <c r="E188" t="str">
        <f>IF(G188&lt;&gt;tbl_tags[[#This Row],[Tags]],"X","")</f>
        <v>X</v>
      </c>
      <c r="G188" s="259" t="s">
        <v>1284</v>
      </c>
      <c r="J188" s="4">
        <v>165</v>
      </c>
      <c r="K188" s="20" t="s">
        <v>2410</v>
      </c>
      <c r="L188" s="4">
        <v>1</v>
      </c>
      <c r="M188" s="21" t="str">
        <f>HYPERLINK("obsidian://open?vault=o2&amp;file=Search%20and%20Replace%20in%20Vim.md","Search and Replace in Vim")</f>
        <v>Search and Replace in Vim</v>
      </c>
      <c r="N188" s="11" t="s">
        <v>175</v>
      </c>
      <c r="AF188" s="11">
        <f>SUBTOTAL(3,_xlfn.SINGLE(tbl_tags[RowId]))</f>
        <v>1</v>
      </c>
    </row>
    <row r="189" spans="5:32">
      <c r="E189" t="str">
        <f>IF(G189&lt;&gt;tbl_tags[[#This Row],[Tags]],"X","")</f>
        <v>X</v>
      </c>
      <c r="G189" s="258" t="s">
        <v>2411</v>
      </c>
      <c r="J189" s="4">
        <v>166</v>
      </c>
      <c r="K189" s="20" t="s">
        <v>1284</v>
      </c>
      <c r="L189" s="4">
        <v>5</v>
      </c>
      <c r="M189" s="21" t="str">
        <f>HYPERLINK("obsidian://open?vault=o2&amp;file=Latest%20Network%20Mappings.md","Latest Network Mappings")</f>
        <v>Latest Network Mappings</v>
      </c>
      <c r="N189" s="11" t="s">
        <v>175</v>
      </c>
      <c r="O189" s="21" t="str">
        <f>HYPERLINK("obsidian://open?vault=o2&amp;file=Port%20Forwarding%20on%20Xfinity.md","Port Forwarding on Xfinity")</f>
        <v>Port Forwarding on Xfinity</v>
      </c>
      <c r="P189" s="11" t="s">
        <v>175</v>
      </c>
      <c r="Q189" s="21" t="str">
        <f>HYPERLINK("obsidian://open?vault=o2&amp;file=Setup%20a%20VPN%20on%20your%20network.md","Setup a VPN on your network")</f>
        <v>Setup a VPN on your network</v>
      </c>
      <c r="R189" s="11" t="s">
        <v>175</v>
      </c>
      <c r="S189" s="21" t="str">
        <f>HYPERLINK("obsidian://open?vault=o2&amp;file=Setup%20DDNS-go.md","Setup DDNS-go")</f>
        <v>Setup DDNS-go</v>
      </c>
      <c r="T189" s="11" t="s">
        <v>175</v>
      </c>
      <c r="U189" s="21" t="str">
        <f>HYPERLINK("obsidian://open?vault=o2&amp;file=Useful%20Networking%20Commands.md","Useful Networking Commands")</f>
        <v>Useful Networking Commands</v>
      </c>
      <c r="V189" s="11" t="s">
        <v>175</v>
      </c>
      <c r="AF189" s="11">
        <f>SUBTOTAL(3,_xlfn.SINGLE(tbl_tags[RowId]))</f>
        <v>1</v>
      </c>
    </row>
    <row r="190" spans="5:32">
      <c r="E190" t="str">
        <f>IF(G190&lt;&gt;tbl_tags[[#This Row],[Tags]],"X","")</f>
        <v>X</v>
      </c>
      <c r="G190" s="259" t="s">
        <v>2412</v>
      </c>
      <c r="J190" s="4">
        <v>167</v>
      </c>
      <c r="K190" s="20" t="s">
        <v>2411</v>
      </c>
      <c r="L190" s="4">
        <v>2</v>
      </c>
      <c r="M190" s="21" t="str">
        <f>HYPERLINK("obsidian://open?vault=o2&amp;file=DATAVIEW%20Obsidian%20Plugin-%20Checklist.md","DATAVIEW Obsidian Plugin- Checklist")</f>
        <v>DATAVIEW Obsidian Plugin- Checklist</v>
      </c>
      <c r="N190" s="11" t="s">
        <v>175</v>
      </c>
      <c r="O190"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P190" s="11" t="s">
        <v>175</v>
      </c>
      <c r="AF190" s="11">
        <f>SUBTOTAL(3,_xlfn.SINGLE(tbl_tags[RowId]))</f>
        <v>1</v>
      </c>
    </row>
    <row r="191" spans="5:32">
      <c r="E191" t="str">
        <f>IF(G191&lt;&gt;tbl_tags[[#This Row],[Tags]],"X","")</f>
        <v>X</v>
      </c>
      <c r="G191" s="258" t="s">
        <v>2413</v>
      </c>
      <c r="J191" s="4">
        <v>168</v>
      </c>
      <c r="K191" s="20" t="s">
        <v>2412</v>
      </c>
      <c r="L191" s="4">
        <v>5</v>
      </c>
      <c r="M191" s="21" t="str">
        <f>HYPERLINK("obsidian://open?vault=o2&amp;file=Secure%20Remote%20Access.md","Secure Remote Access")</f>
        <v>Secure Remote Access</v>
      </c>
      <c r="N191" s="11" t="s">
        <v>175</v>
      </c>
      <c r="O191" s="21" t="str">
        <f>HYPERLINK("obsidian://open?vault=o2&amp;file=Setup%20Nginx%20Proxy%20Manager.md","Setup Nginx Proxy Manager")</f>
        <v>Setup Nginx Proxy Manager</v>
      </c>
      <c r="P191" s="11" t="s">
        <v>175</v>
      </c>
      <c r="Q191" s="21" t="str">
        <f>HYPERLINK("obsidian://open?vault=o2&amp;file=Install%20Nginx%20Proxy%20Manager%20on%20CasaOS.md","Install Nginx Proxy Manager on CasaOS")</f>
        <v>Install Nginx Proxy Manager on CasaOS</v>
      </c>
      <c r="R191" s="11" t="s">
        <v>175</v>
      </c>
      <c r="S191" s="21" t="str">
        <f>HYPERLINK("obsidian://open?vault=o2&amp;file=Setup%20DuckDNS%20and%20ACME%20DNS-01.md","Setup DuckDNS and ACME DNS-01")</f>
        <v>Setup DuckDNS and ACME DNS-01</v>
      </c>
      <c r="T191" s="11" t="s">
        <v>175</v>
      </c>
      <c r="U191" s="21" t="str">
        <f>HYPERLINK("obsidian://open?vault=o2&amp;file=Troubleshooting%20NGINX.md","Troubleshooting NGINX")</f>
        <v>Troubleshooting NGINX</v>
      </c>
      <c r="V191" s="11" t="s">
        <v>175</v>
      </c>
      <c r="AF191" s="11">
        <f>SUBTOTAL(3,_xlfn.SINGLE(tbl_tags[RowId]))</f>
        <v>1</v>
      </c>
    </row>
    <row r="192" spans="5:32">
      <c r="E192" t="str">
        <f>IF(G192&lt;&gt;tbl_tags[[#This Row],[Tags]],"X","")</f>
        <v>X</v>
      </c>
      <c r="G192" s="259" t="s">
        <v>2414</v>
      </c>
      <c r="J192" s="4">
        <v>169</v>
      </c>
      <c r="K192" s="20" t="s">
        <v>2413</v>
      </c>
      <c r="L192" s="4">
        <v>2</v>
      </c>
      <c r="M192" s="21" t="str">
        <f>HYPERLINK("obsidian://open?vault=o2&amp;file=%E2%9A%92%EF%B8%8F%20FUN%20-%20Frequently%20Used%20Notes.md","⚒️ FUN - Frequently Used Notes")</f>
        <v>⚒️ FUN - Frequently Used Notes</v>
      </c>
      <c r="N192" s="11" t="s">
        <v>175</v>
      </c>
      <c r="O192" s="21" t="str">
        <f>HYPERLINK("obsidian://open?vault=o2&amp;file=%E2%9A%92%EF%B8%8F%20FUT%20-%20Frequently%20Used%20Tags.md","⚒️ FUT - Frequently Used Tags")</f>
        <v>⚒️ FUT - Frequently Used Tags</v>
      </c>
      <c r="P192" s="11" t="s">
        <v>175</v>
      </c>
      <c r="AF192" s="11">
        <f>SUBTOTAL(3,_xlfn.SINGLE(tbl_tags[RowId]))</f>
        <v>1</v>
      </c>
    </row>
    <row r="193" spans="5:32">
      <c r="E193" t="str">
        <f>IF(G193&lt;&gt;tbl_tags[[#This Row],[Tags]],"X","")</f>
        <v>X</v>
      </c>
      <c r="G193" s="258" t="s">
        <v>2415</v>
      </c>
      <c r="J193" s="4">
        <v>170</v>
      </c>
      <c r="K193" s="20" t="s">
        <v>2414</v>
      </c>
      <c r="L193" s="4">
        <v>1</v>
      </c>
      <c r="M193" s="21" t="str">
        <f>HYPERLINK("obsidian://open?vault=o2&amp;file=Hire%20a%20Realtor.md","Hire a Realtor")</f>
        <v>Hire a Realtor</v>
      </c>
      <c r="N193" s="11" t="s">
        <v>175</v>
      </c>
      <c r="AF193" s="11">
        <f>SUBTOTAL(3,_xlfn.SINGLE(tbl_tags[RowId]))</f>
        <v>1</v>
      </c>
    </row>
    <row r="194" spans="5:32">
      <c r="E194" t="str">
        <f>IF(G194&lt;&gt;tbl_tags[[#This Row],[Tags]],"X","")</f>
        <v>X</v>
      </c>
      <c r="G194" s="259" t="s">
        <v>1932</v>
      </c>
      <c r="J194" s="4">
        <v>171</v>
      </c>
      <c r="K194" s="20" t="s">
        <v>2415</v>
      </c>
      <c r="L194" s="4">
        <v>1</v>
      </c>
      <c r="M194" s="21" t="str">
        <f>HYPERLINK("obsidian://open?vault=o2&amp;file=%F0%9F%8C%9E%20My%20Greenhouse.md","🌞 My Greenhouse")</f>
        <v>🌞 My Greenhouse</v>
      </c>
      <c r="N194" s="11" t="s">
        <v>175</v>
      </c>
      <c r="AF194" s="11">
        <f>SUBTOTAL(3,_xlfn.SINGLE(tbl_tags[RowId]))</f>
        <v>1</v>
      </c>
    </row>
    <row r="195" spans="5:32">
      <c r="E195" t="str">
        <f>IF(G195&lt;&gt;tbl_tags[[#This Row],[Tags]],"X","")</f>
        <v>X</v>
      </c>
      <c r="G195" s="259" t="s">
        <v>1934</v>
      </c>
      <c r="J195" s="4">
        <v>173</v>
      </c>
      <c r="K195" s="20" t="s">
        <v>2416</v>
      </c>
      <c r="L195" s="4">
        <v>24</v>
      </c>
      <c r="M195" s="21" t="str">
        <f>HYPERLINK("obsidian://open?vault=o2&amp;file=Advanced%20regular%20expression%20features%20to%20match%20Markdown%20links.md","Advanced regular expression features to match Markdown links")</f>
        <v>Advanced regular expression features to match Markdown links</v>
      </c>
      <c r="N195" s="11" t="s">
        <v>175</v>
      </c>
      <c r="O195" s="21" t="str">
        <f>HYPERLINK("obsidian://open?vault=o2&amp;file=Markdown%20Definition%20Lists.md","Markdown Definition Lists")</f>
        <v>Markdown Definition Lists</v>
      </c>
      <c r="P195" s="11" t="s">
        <v>175</v>
      </c>
      <c r="Q195" s="21" t="str">
        <f>HYPERLINK("obsidian://open?vault=o2&amp;file=Regex%20Flavors.md","Regex Flavors")</f>
        <v>Regex Flavors</v>
      </c>
      <c r="R195" s="11" t="s">
        <v>175</v>
      </c>
      <c r="S195" s="21" t="str">
        <f>HYPERLINK("obsidian://open?vault=o2&amp;file=Unicoding%20-%20In%20Brief.md","Unicoding - In Brief")</f>
        <v>Unicoding - In Brief</v>
      </c>
      <c r="T195" s="11" t="s">
        <v>175</v>
      </c>
      <c r="U195" s="21" t="str">
        <f>HYPERLINK("obsidian://open?vault=o2&amp;file=Useful%20Python%20Notes.md","Useful Python Notes")</f>
        <v>Useful Python Notes</v>
      </c>
      <c r="V195" s="11" t="s">
        <v>175</v>
      </c>
      <c r="W195" s="21" t="str">
        <f>HYPERLINK("obsidian://open?vault=o2&amp;file=YAML%20Fix%20Tool.md","YAML Fix Tool")</f>
        <v>YAML Fix Tool</v>
      </c>
      <c r="X195" s="11" t="s">
        <v>175</v>
      </c>
      <c r="Y195" s="21" t="str">
        <f>HYPERLINK("obsidian://open?vault=o2&amp;file=Notes%20on%20Python%20Class%20Objects.md","Notes on Python Class Objects")</f>
        <v>Notes on Python Class Objects</v>
      </c>
      <c r="Z195" s="11" t="s">
        <v>175</v>
      </c>
      <c r="AA195" s="21" t="str">
        <f>HYPERLINK("obsidian://open?vault=o2&amp;file=Emoji%20Study.md","Emoji Study")</f>
        <v>Emoji Study</v>
      </c>
      <c r="AB195" s="11" t="s">
        <v>175</v>
      </c>
      <c r="AC195" s="21" t="str">
        <f>HYPERLINK("obsidian://open?vault=o2&amp;file=How%20I%20export%20dataviews.md","How I export dataviews")</f>
        <v>How I export dataviews</v>
      </c>
      <c r="AD195" s="11" t="s">
        <v>175</v>
      </c>
      <c r="AE195" s="21" t="str">
        <f>HYPERLINK("obsidian://open?vault=o2&amp;file=My%20Theme%20Management.md","My Theme Management")</f>
        <v>My Theme Management</v>
      </c>
      <c r="AF195" s="11">
        <f>SUBTOTAL(3,_xlfn.SINGLE(tbl_tags[RowId]))</f>
        <v>1</v>
      </c>
    </row>
    <row r="196" spans="5:32">
      <c r="E196" t="str">
        <f>IF(G196&lt;&gt;tbl_tags[[#This Row],[Tags]],"X","")</f>
        <v>X</v>
      </c>
      <c r="G196" s="258" t="s">
        <v>2417</v>
      </c>
      <c r="J196" s="4">
        <v>174</v>
      </c>
      <c r="K196" s="20" t="s">
        <v>1934</v>
      </c>
      <c r="L196" s="4">
        <v>1</v>
      </c>
      <c r="M196" s="21" t="str">
        <f>HYPERLINK("obsidian://open?vault=o2&amp;file=%E2%9A%A1%20Build%20118th%20Congress%20Spreadsheet.md","⚡ Build 118th Congress Spreadsheet")</f>
        <v>⚡ Build 118th Congress Spreadsheet</v>
      </c>
      <c r="N196" s="11" t="s">
        <v>175</v>
      </c>
      <c r="AF196" s="11">
        <f>SUBTOTAL(3,_xlfn.SINGLE(tbl_tags[RowId]))</f>
        <v>1</v>
      </c>
    </row>
    <row r="197" spans="5:32">
      <c r="E197" t="str">
        <f>IF(G197&lt;&gt;tbl_tags[[#This Row],[Tags]],"X","")</f>
        <v>X</v>
      </c>
      <c r="G197" s="259" t="s">
        <v>2418</v>
      </c>
      <c r="J197" s="4">
        <v>175</v>
      </c>
      <c r="K197" s="20" t="s">
        <v>2417</v>
      </c>
      <c r="L197" s="4">
        <v>1</v>
      </c>
      <c r="M197" s="21" t="str">
        <f>HYPERLINK("obsidian://open?vault=o2&amp;file=Evergreen%20Notes%20as%20Defined%20by%20Andy.md","Evergreen Notes as Defined by Andy")</f>
        <v>Evergreen Notes as Defined by Andy</v>
      </c>
      <c r="N197" s="11" t="s">
        <v>175</v>
      </c>
      <c r="AF197" s="11">
        <f>SUBTOTAL(3,_xlfn.SINGLE(tbl_tags[RowId]))</f>
        <v>1</v>
      </c>
    </row>
    <row r="198" spans="5:32">
      <c r="E198" t="str">
        <f>IF(G198&lt;&gt;tbl_tags[[#This Row],[Tags]],"X","")</f>
        <v>X</v>
      </c>
      <c r="G198" s="258" t="s">
        <v>2419</v>
      </c>
      <c r="J198" s="4">
        <v>176</v>
      </c>
      <c r="K198" s="20" t="s">
        <v>2418</v>
      </c>
      <c r="L198" s="4">
        <v>11</v>
      </c>
      <c r="M198" s="21" t="str">
        <f>HYPERLINK("obsidian://open?vault=o2&amp;file=Evergreen%20Notes%20as%20Defined%20by%20Andy.md","Evergreen Notes as Defined by Andy")</f>
        <v>Evergreen Notes as Defined by Andy</v>
      </c>
      <c r="N198" s="11" t="s">
        <v>175</v>
      </c>
      <c r="O198" s="21" t="str">
        <f>HYPERLINK("obsidian://open?vault=o2&amp;file=Extra%20Learning%20Resources.md","Extra Learning Resources")</f>
        <v>Extra Learning Resources</v>
      </c>
      <c r="P198" s="11" t="s">
        <v>175</v>
      </c>
      <c r="Q198" s="21" t="str">
        <f>HYPERLINK("obsidian://open?vault=o2&amp;file=John%27s%20Second%20Brain%20Subvault.md","John's Second Brain Subvault")</f>
        <v>John's Second Brain Subvault</v>
      </c>
      <c r="R198" s="11" t="s">
        <v>175</v>
      </c>
      <c r="S198" s="21" t="str">
        <f>HYPERLINK("obsidian://open?vault=o2&amp;file=Managing%20appearance%20and%20theme.md","Managing appearance and theme")</f>
        <v>Managing appearance and theme</v>
      </c>
      <c r="T198" s="11" t="s">
        <v>175</v>
      </c>
      <c r="U198" s="21" t="str">
        <f>HYPERLINK("obsidian://open?vault=o2&amp;file=Managing%20inputs.md","Managing inputs")</f>
        <v>Managing inputs</v>
      </c>
      <c r="V198" s="11" t="s">
        <v>175</v>
      </c>
      <c r="W198" s="21" t="str">
        <f>HYPERLINK("obsidian://open?vault=o2&amp;file=see%20people.md","see people")</f>
        <v>see people</v>
      </c>
      <c r="X198" s="11" t="s">
        <v>175</v>
      </c>
      <c r="Y198" s="21" t="str">
        <f>HYPERLINK("obsidian://open?vault=o2&amp;file=testing%20gevents%20offset.md","testing gevents offset")</f>
        <v>testing gevents offset</v>
      </c>
      <c r="Z198" s="11" t="s">
        <v>175</v>
      </c>
      <c r="AA198" s="21" t="str">
        <f>HYPERLINK("obsidian://open?vault=o2&amp;file=Turning%20notes%20into%20content.md","Turning notes into content")</f>
        <v>Turning notes into content</v>
      </c>
      <c r="AB198" s="11" t="s">
        <v>175</v>
      </c>
      <c r="AC198" s="21" t="str">
        <f>HYPERLINK("obsidian://open?vault=o2&amp;file=%F0%9F%93%A5%20Konik%20Method%20for%20Making%20Useful%20Notes.md","📥 Konik Method for Making Useful Notes")</f>
        <v>📥 Konik Method for Making Useful Notes</v>
      </c>
      <c r="AD198" s="11" t="s">
        <v>175</v>
      </c>
      <c r="AE198" s="21" t="str">
        <f>HYPERLINK("obsidian://open?vault=o2&amp;file=Building%20a%20Second%20Brain%20Highlights.md","Building a Second Brain Highlights")</f>
        <v>Building a Second Brain Highlights</v>
      </c>
      <c r="AF198" s="11">
        <f>SUBTOTAL(3,_xlfn.SINGLE(tbl_tags[RowId]))</f>
        <v>1</v>
      </c>
    </row>
    <row r="199" spans="5:32">
      <c r="E199" t="str">
        <f>IF(G199&lt;&gt;tbl_tags[[#This Row],[Tags]],"X","")</f>
        <v>X</v>
      </c>
      <c r="G199" s="259" t="s">
        <v>2420</v>
      </c>
      <c r="J199" s="4">
        <v>177</v>
      </c>
      <c r="K199" s="20" t="s">
        <v>2419</v>
      </c>
      <c r="L199" s="4">
        <v>1</v>
      </c>
      <c r="M199" s="21" t="str">
        <f>HYPERLINK("obsidian://open?vault=o2&amp;file=Templater%20Cheat%20Sheet.md","Templater Cheat Sheet")</f>
        <v>Templater Cheat Sheet</v>
      </c>
      <c r="N199" s="11" t="s">
        <v>175</v>
      </c>
      <c r="AF199" s="11">
        <f>SUBTOTAL(3,_xlfn.SINGLE(tbl_tags[RowId]))</f>
        <v>1</v>
      </c>
    </row>
    <row r="200" spans="5:32">
      <c r="E200" t="str">
        <f>IF(G200&lt;&gt;tbl_tags[[#This Row],[Tags]],"X","")</f>
        <v>X</v>
      </c>
      <c r="G200" s="258" t="s">
        <v>2421</v>
      </c>
      <c r="J200" s="4">
        <v>178</v>
      </c>
      <c r="K200" s="20" t="s">
        <v>2420</v>
      </c>
      <c r="L200" s="4">
        <v>37</v>
      </c>
      <c r="M200" s="21" t="str">
        <f>HYPERLINK("obsidian://open?vault=o2&amp;file=BISAC%20Book%20Classifications.md","BISAC Book Classifications")</f>
        <v>BISAC Book Classifications</v>
      </c>
      <c r="N200" s="11" t="s">
        <v>175</v>
      </c>
      <c r="O200" s="21" t="str">
        <f>HYPERLINK("obsidian://open?vault=o2&amp;file=Evergreen%20Notes.md","Evergreen Notes")</f>
        <v>Evergreen Notes</v>
      </c>
      <c r="P200" s="11" t="s">
        <v>175</v>
      </c>
      <c r="Q200" s="21" t="str">
        <f>HYPERLINK("obsidian://open?vault=o2&amp;file=Extra%20Learning%20Resources.md","Extra Learning Resources")</f>
        <v>Extra Learning Resources</v>
      </c>
      <c r="R200" s="11" t="s">
        <v>175</v>
      </c>
      <c r="S200" s="21" t="str">
        <f>HYPERLINK("obsidian://open?vault=o2&amp;file=Hotkeys%20Defined-Orig.md","Hotkeys Defined-Orig")</f>
        <v>Hotkeys Defined-Orig</v>
      </c>
      <c r="T200" s="11" t="s">
        <v>175</v>
      </c>
      <c r="U200" s="21" t="str">
        <f>HYPERLINK("obsidian://open?vault=o2&amp;file=John%27s%20Second%20Brain%20Subvault.md","John's Second Brain Subvault")</f>
        <v>John's Second Brain Subvault</v>
      </c>
      <c r="V200" s="11" t="s">
        <v>175</v>
      </c>
      <c r="W200" s="21" t="str">
        <f>HYPERLINK("obsidian://open?vault=o2&amp;file=Maintain%20notes%20that%20you%20revisit.md","Maintain notes that you revisit")</f>
        <v>Maintain notes that you revisit</v>
      </c>
      <c r="X200" s="11" t="s">
        <v>175</v>
      </c>
      <c r="Y200" s="21" t="str">
        <f>HYPERLINK("obsidian://open?vault=o2&amp;file=Managing%20appearance%20and%20theme.md","Managing appearance and theme")</f>
        <v>Managing appearance and theme</v>
      </c>
      <c r="Z200" s="11" t="s">
        <v>175</v>
      </c>
      <c r="AA200" s="21" t="str">
        <f>HYPERLINK("obsidian://open?vault=o2&amp;file=Managing%20inputs.md","Managing inputs")</f>
        <v>Managing inputs</v>
      </c>
      <c r="AB200" s="11" t="s">
        <v>175</v>
      </c>
      <c r="AC200" s="21" t="str">
        <f>HYPERLINK("obsidian://open?vault=o2&amp;file=Metadata%20Menu%20Community%20Plugin.md","Metadata Menu Community Plugin")</f>
        <v>Metadata Menu Community Plugin</v>
      </c>
      <c r="AD200" s="11" t="s">
        <v>175</v>
      </c>
      <c r="AE200" s="21" t="str">
        <f>HYPERLINK("obsidian://open?vault=o2&amp;file=My%20Plugins.md","My Plugins")</f>
        <v>My Plugins</v>
      </c>
      <c r="AF200" s="11">
        <f>SUBTOTAL(3,_xlfn.SINGLE(tbl_tags[RowId]))</f>
        <v>1</v>
      </c>
    </row>
    <row r="201" spans="5:32">
      <c r="E201" t="str">
        <f>IF(G201&lt;&gt;tbl_tags[[#This Row],[Tags]],"X","")</f>
        <v>X</v>
      </c>
      <c r="G201" s="259" t="s">
        <v>2422</v>
      </c>
      <c r="J201" s="4">
        <v>179</v>
      </c>
      <c r="K201" s="20" t="s">
        <v>2421</v>
      </c>
      <c r="L201" s="4">
        <v>1</v>
      </c>
      <c r="M201" s="21" t="str">
        <f>HYPERLINK("obsidian://open?vault=o2&amp;file=Research%20Cable%20Management.md","Research Cable Management")</f>
        <v>Research Cable Management</v>
      </c>
      <c r="N201" s="11" t="s">
        <v>175</v>
      </c>
      <c r="AF201" s="11">
        <f>SUBTOTAL(3,_xlfn.SINGLE(tbl_tags[RowId]))</f>
        <v>1</v>
      </c>
    </row>
    <row r="202" spans="5:32">
      <c r="E202" t="str">
        <f>IF(G202&lt;&gt;tbl_tags[[#This Row],[Tags]],"X","")</f>
        <v>X</v>
      </c>
      <c r="G202" s="258" t="s">
        <v>2423</v>
      </c>
      <c r="J202" s="4">
        <v>180</v>
      </c>
      <c r="K202" s="20" t="s">
        <v>2422</v>
      </c>
      <c r="L202" s="4">
        <v>1</v>
      </c>
      <c r="M202" s="21" t="str">
        <f>HYPERLINK("obsidian://open?vault=o2&amp;file=Vault%20Overview.md","Vault Overview")</f>
        <v>Vault Overview</v>
      </c>
      <c r="N202" s="11" t="s">
        <v>175</v>
      </c>
      <c r="AF202" s="11">
        <f>SUBTOTAL(3,_xlfn.SINGLE(tbl_tags[RowId]))</f>
        <v>1</v>
      </c>
    </row>
    <row r="203" spans="5:32">
      <c r="E203" t="str">
        <f>IF(G203&lt;&gt;tbl_tags[[#This Row],[Tags]],"X","")</f>
        <v>X</v>
      </c>
      <c r="G203" s="259" t="s">
        <v>2424</v>
      </c>
      <c r="J203" s="4">
        <v>181</v>
      </c>
      <c r="K203" s="20" t="s">
        <v>2423</v>
      </c>
      <c r="L203" s="4">
        <v>2</v>
      </c>
      <c r="M203" s="21" t="str">
        <f>HYPERLINK("obsidian://open?vault=o2&amp;file=10th%20Step%20Homework.md","10th Step Homework")</f>
        <v>10th Step Homework</v>
      </c>
      <c r="N203" s="11" t="s">
        <v>175</v>
      </c>
      <c r="O203" s="21" t="str">
        <f>HYPERLINK("obsidian://open?vault=o2&amp;file=OneNote%20List%20of%20Notebooks.md","OneNote List of Notebooks")</f>
        <v>OneNote List of Notebooks</v>
      </c>
      <c r="P203" s="11" t="s">
        <v>175</v>
      </c>
      <c r="AF203" s="11">
        <f>SUBTOTAL(3,_xlfn.SINGLE(tbl_tags[RowId]))</f>
        <v>1</v>
      </c>
    </row>
    <row r="204" spans="5:32">
      <c r="E204" t="str">
        <f>IF(G204&lt;&gt;tbl_tags[[#This Row],[Tags]],"X","")</f>
        <v>X</v>
      </c>
      <c r="G204" s="258" t="s">
        <v>2425</v>
      </c>
      <c r="J204" s="4">
        <v>182</v>
      </c>
      <c r="K204" s="20" t="s">
        <v>2424</v>
      </c>
      <c r="L204" s="4">
        <v>1</v>
      </c>
      <c r="M204" s="21" t="str">
        <f>HYPERLINK("obsidian://open?vault=o2&amp;file=2025-01-27.md","2025-01-27")</f>
        <v>2025-01-27</v>
      </c>
      <c r="N204" s="11" t="s">
        <v>175</v>
      </c>
      <c r="AF204" s="11">
        <f>SUBTOTAL(3,_xlfn.SINGLE(tbl_tags[RowId]))</f>
        <v>1</v>
      </c>
    </row>
    <row r="205" spans="5:32">
      <c r="E205" t="str">
        <f>IF(G205&lt;&gt;tbl_tags[[#This Row],[Tags]],"X","")</f>
        <v>X</v>
      </c>
      <c r="G205" s="259" t="s">
        <v>2426</v>
      </c>
      <c r="J205" s="4">
        <v>183</v>
      </c>
      <c r="K205" s="20" t="s">
        <v>2425</v>
      </c>
      <c r="L205" s="4">
        <v>1</v>
      </c>
      <c r="M205" s="21" t="str">
        <f>HYPERLINK("obsidian://open?vault=o2&amp;file=BISAC%20Book%20Classifications.md","BISAC Book Classifications")</f>
        <v>BISAC Book Classifications</v>
      </c>
      <c r="N205" s="11" t="s">
        <v>175</v>
      </c>
      <c r="AF205" s="11">
        <f>SUBTOTAL(3,_xlfn.SINGLE(tbl_tags[RowId]))</f>
        <v>1</v>
      </c>
    </row>
    <row r="206" spans="5:32">
      <c r="E206" t="str">
        <f>IF(G206&lt;&gt;tbl_tags[[#This Row],[Tags]],"X","")</f>
        <v>X</v>
      </c>
      <c r="G206" s="258" t="s">
        <v>2427</v>
      </c>
      <c r="J206" s="4">
        <v>184</v>
      </c>
      <c r="K206" s="20" t="s">
        <v>2426</v>
      </c>
      <c r="L206" s="4">
        <v>11</v>
      </c>
      <c r="M206" s="21" t="str">
        <f>HYPERLINK("obsidian://open?vault=o2&amp;file=Business%20Name%20OSINT.md","Business Name OSINT")</f>
        <v>Business Name OSINT</v>
      </c>
      <c r="N206" s="11" t="s">
        <v>175</v>
      </c>
      <c r="O206" s="21" t="str">
        <f>HYPERLINK("obsidian://open?vault=o2&amp;file=Email%20Address%20OSINT.md","Email Address OSINT")</f>
        <v>Email Address OSINT</v>
      </c>
      <c r="P206" s="11" t="s">
        <v>175</v>
      </c>
      <c r="Q206" s="21" t="str">
        <f>HYPERLINK("obsidian://open?vault=o2&amp;file=Master%20OSINT%20Toolbox.md","Master OSINT Toolbox")</f>
        <v>Master OSINT Toolbox</v>
      </c>
      <c r="R206" s="11" t="s">
        <v>175</v>
      </c>
      <c r="S206" s="21" t="str">
        <f>HYPERLINK("obsidian://open?vault=o2&amp;file=Persons%20name%20OSINT.md","Persons name OSINT")</f>
        <v>Persons name OSINT</v>
      </c>
      <c r="T206" s="11" t="s">
        <v>175</v>
      </c>
      <c r="U206" s="21" t="str">
        <f>HYPERLINK("obsidian://open?vault=o2&amp;file=Phone%20Number%20OSINT.md","Phone Number OSINT")</f>
        <v>Phone Number OSINT</v>
      </c>
      <c r="V206" s="11" t="s">
        <v>175</v>
      </c>
      <c r="W206" s="21" t="str">
        <f>HYPERLINK("obsidian://open?vault=o2&amp;file=Physical%20Address%20OSINT.md","Physical Address OSINT")</f>
        <v>Physical Address OSINT</v>
      </c>
      <c r="X206" s="11" t="s">
        <v>175</v>
      </c>
      <c r="Y206" s="21" t="str">
        <f>HYPERLINK("obsidian://open?vault=o2&amp;file=Social%20Media%20OSINT.md","Social Media OSINT")</f>
        <v>Social Media OSINT</v>
      </c>
      <c r="Z206" s="11" t="s">
        <v>175</v>
      </c>
      <c r="AA206" s="21" t="str">
        <f>HYPERLINK("obsidian://open?vault=o2&amp;file=Username%20OSINT.md","Username OSINT")</f>
        <v>Username OSINT</v>
      </c>
      <c r="AB206" s="11" t="s">
        <v>175</v>
      </c>
      <c r="AC206" s="21" t="str">
        <f>HYPERLINK("obsidian://open?vault=o2&amp;file=Persons%20Database%20Research.md","Persons Database Research")</f>
        <v>Persons Database Research</v>
      </c>
      <c r="AD206" s="11" t="s">
        <v>175</v>
      </c>
      <c r="AE206" s="21" t="str">
        <f>HYPERLINK("obsidian://open?vault=o2&amp;file=Firefox%20Privacy%20Settings.md","Firefox Privacy Settings")</f>
        <v>Firefox Privacy Settings</v>
      </c>
      <c r="AF206" s="11">
        <f>SUBTOTAL(3,_xlfn.SINGLE(tbl_tags[RowId]))</f>
        <v>1</v>
      </c>
    </row>
    <row r="207" spans="5:32">
      <c r="E207" t="str">
        <f>IF(G207&lt;&gt;tbl_tags[[#This Row],[Tags]],"X","")</f>
        <v>X</v>
      </c>
      <c r="G207" s="259" t="s">
        <v>2428</v>
      </c>
      <c r="J207" s="4">
        <v>185</v>
      </c>
      <c r="K207" s="20" t="s">
        <v>2427</v>
      </c>
      <c r="L207" s="4">
        <v>1</v>
      </c>
      <c r="M207" s="21" t="str">
        <f>HYPERLINK("obsidian://open?vault=o2&amp;file=Python%20Style%20Guide.md","Python Style Guide")</f>
        <v>Python Style Guide</v>
      </c>
      <c r="N207" s="11" t="s">
        <v>175</v>
      </c>
      <c r="AF207" s="11">
        <f>SUBTOTAL(3,_xlfn.SINGLE(tbl_tags[RowId]))</f>
        <v>1</v>
      </c>
    </row>
    <row r="208" spans="5:32">
      <c r="E208" t="str">
        <f>IF(G208&lt;&gt;tbl_tags[[#This Row],[Tags]],"X","")</f>
        <v>X</v>
      </c>
      <c r="G208" s="258" t="s">
        <v>2429</v>
      </c>
      <c r="J208" s="4">
        <v>186</v>
      </c>
      <c r="K208" s="20" t="s">
        <v>2428</v>
      </c>
      <c r="L208" s="4">
        <v>1</v>
      </c>
      <c r="M208" s="21" t="str">
        <f>HYPERLINK("obsidian://open?vault=o2&amp;file=Python%20Style%20Guide.md","Python Style Guide")</f>
        <v>Python Style Guide</v>
      </c>
      <c r="N208" s="11" t="s">
        <v>175</v>
      </c>
      <c r="AF208" s="11">
        <f>SUBTOTAL(3,_xlfn.SINGLE(tbl_tags[RowId]))</f>
        <v>1</v>
      </c>
    </row>
    <row r="209" spans="5:32">
      <c r="E209" t="str">
        <f>IF(G209&lt;&gt;tbl_tags[[#This Row],[Tags]],"X","")</f>
        <v>X</v>
      </c>
      <c r="G209" s="259" t="s">
        <v>599</v>
      </c>
      <c r="J209" s="4">
        <v>187</v>
      </c>
      <c r="K209" s="20" t="s">
        <v>2429</v>
      </c>
      <c r="L209" s="4">
        <v>1</v>
      </c>
      <c r="M209" s="21" t="str">
        <f>HYPERLINK("obsidian://open?vault=o2&amp;file=Watercolor%20Artist.md","Watercolor Artist")</f>
        <v>Watercolor Artist</v>
      </c>
      <c r="N209" s="11" t="s">
        <v>175</v>
      </c>
      <c r="AF209" s="11">
        <f>SUBTOTAL(3,_xlfn.SINGLE(tbl_tags[RowId]))</f>
        <v>1</v>
      </c>
    </row>
    <row r="210" spans="5:32">
      <c r="E210" t="str">
        <f>IF(G210&lt;&gt;tbl_tags[[#This Row],[Tags]],"X","")</f>
        <v>X</v>
      </c>
      <c r="G210" s="258" t="s">
        <v>2430</v>
      </c>
      <c r="J210" s="4">
        <v>188</v>
      </c>
      <c r="K210" s="20" t="s">
        <v>599</v>
      </c>
      <c r="L210" s="4">
        <v>2</v>
      </c>
      <c r="M210" s="21" t="str">
        <f>HYPERLINK("obsidian://open?vault=o2&amp;file=peepsTemplate.md","peepsTemplate")</f>
        <v>peepsTemplate</v>
      </c>
      <c r="N210" s="11" t="s">
        <v>175</v>
      </c>
      <c r="O210" s="21" t="str">
        <f>HYPERLINK("obsidian://open?vault=o2&amp;file=peepsTemplatetest1.md","peepsTemplatetest1")</f>
        <v>peepsTemplatetest1</v>
      </c>
      <c r="P210" s="11" t="s">
        <v>175</v>
      </c>
      <c r="AF210" s="11">
        <f>SUBTOTAL(3,_xlfn.SINGLE(tbl_tags[RowId]))</f>
        <v>1</v>
      </c>
    </row>
    <row r="211" spans="5:32">
      <c r="E211" t="str">
        <f>IF(G211&lt;&gt;tbl_tags[[#This Row],[Tags]],"X","")</f>
        <v>X</v>
      </c>
      <c r="G211" s="259" t="s">
        <v>601</v>
      </c>
      <c r="J211" s="4">
        <v>189</v>
      </c>
      <c r="K211" s="20" t="s">
        <v>2430</v>
      </c>
      <c r="L211" s="4">
        <v>2</v>
      </c>
      <c r="M211" s="21" t="str">
        <f>HYPERLINK("obsidian://open?vault=o2&amp;file=Bletchley%20Park%20interviews%20with%20IJ%20Good%20and%20Mickey.md","Bletchley Park interviews with IJ Good and Mickey")</f>
        <v>Bletchley Park interviews with IJ Good and Mickey</v>
      </c>
      <c r="N211" s="11" t="s">
        <v>175</v>
      </c>
      <c r="O211"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P211" s="11" t="s">
        <v>175</v>
      </c>
      <c r="AF211" s="11">
        <f>SUBTOTAL(3,_xlfn.SINGLE(tbl_tags[RowId]))</f>
        <v>1</v>
      </c>
    </row>
    <row r="212" spans="5:32">
      <c r="E212" t="str">
        <f>IF(G212&lt;&gt;tbl_tags[[#This Row],[Tags]],"X","")</f>
        <v>X</v>
      </c>
      <c r="G212" s="258" t="s">
        <v>117</v>
      </c>
      <c r="J212" s="4">
        <v>190</v>
      </c>
      <c r="K212" s="20" t="s">
        <v>601</v>
      </c>
      <c r="L212" s="4">
        <v>4</v>
      </c>
      <c r="M212" s="21" t="str">
        <f>HYPERLINK("obsidian://open?vault=o2&amp;file=Metadata%20Menu%20Community%20Plugin.md","Metadata Menu Community Plugin")</f>
        <v>Metadata Menu Community Plugin</v>
      </c>
      <c r="N212" s="11" t="s">
        <v>175</v>
      </c>
      <c r="O212" s="21" t="str">
        <f>HYPERLINK("obsidian://open?vault=o2&amp;file=DATAVIEW%20Obsidian%20Plugin-%20Checklist.md","DATAVIEW Obsidian Plugin- Checklist")</f>
        <v>DATAVIEW Obsidian Plugin- Checklist</v>
      </c>
      <c r="P212" s="11" t="s">
        <v>175</v>
      </c>
      <c r="Q212"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R212" s="11" t="s">
        <v>175</v>
      </c>
      <c r="S212" s="21" t="str">
        <f>HYPERLINK("obsidian://open?vault=o2&amp;file=personsTemplate.md","personsTemplate")</f>
        <v>personsTemplate</v>
      </c>
      <c r="T212" s="11" t="s">
        <v>175</v>
      </c>
      <c r="AF212" s="11">
        <f>SUBTOTAL(3,_xlfn.SINGLE(tbl_tags[RowId]))</f>
        <v>1</v>
      </c>
    </row>
    <row r="213" spans="5:32">
      <c r="E213" t="str">
        <f>IF(G213&lt;&gt;tbl_tags[[#This Row],[Tags]],"X","")</f>
        <v>X</v>
      </c>
      <c r="G213" s="259" t="s">
        <v>2431</v>
      </c>
      <c r="J213" s="4">
        <v>191</v>
      </c>
      <c r="K213" s="20" t="s">
        <v>117</v>
      </c>
      <c r="L213" s="4">
        <v>1</v>
      </c>
      <c r="M213" s="21" t="str">
        <f>HYPERLINK("obsidian://open?vault=o2&amp;file=Dewey%20Decimal%20Classifications.md","Dewey Decimal Classifications")</f>
        <v>Dewey Decimal Classifications</v>
      </c>
      <c r="N213" s="11" t="s">
        <v>175</v>
      </c>
      <c r="AF213" s="11">
        <f>SUBTOTAL(3,_xlfn.SINGLE(tbl_tags[RowId]))</f>
        <v>1</v>
      </c>
    </row>
    <row r="214" spans="5:32">
      <c r="E214" t="str">
        <f>IF(G214&lt;&gt;tbl_tags[[#This Row],[Tags]],"X","")</f>
        <v>X</v>
      </c>
      <c r="G214" s="258" t="s">
        <v>2432</v>
      </c>
      <c r="J214" s="4">
        <v>192</v>
      </c>
      <c r="K214" s="20" t="s">
        <v>2431</v>
      </c>
      <c r="L214" s="4">
        <v>1</v>
      </c>
      <c r="M214" s="21" t="str">
        <f>HYPERLINK("obsidian://open?vault=o2&amp;file=VBA%20Script%20to%20Load%20Folder%20images%20into%20Excel.md","VBA Script to Load Folder images into Excel")</f>
        <v>VBA Script to Load Folder images into Excel</v>
      </c>
      <c r="N214" s="11" t="s">
        <v>175</v>
      </c>
      <c r="AF214" s="11">
        <f>SUBTOTAL(3,_xlfn.SINGLE(tbl_tags[RowId]))</f>
        <v>1</v>
      </c>
    </row>
    <row r="215" spans="5:32">
      <c r="E215" t="str">
        <f>IF(G215&lt;&gt;tbl_tags[[#This Row],[Tags]],"X","")</f>
        <v>X</v>
      </c>
      <c r="G215" s="259" t="s">
        <v>2433</v>
      </c>
      <c r="J215" s="4">
        <v>193</v>
      </c>
      <c r="K215" s="20" t="s">
        <v>2432</v>
      </c>
      <c r="L215" s="4">
        <v>1</v>
      </c>
      <c r="M215" s="21" t="str">
        <f>HYPERLINK("obsidian://open?vault=o2&amp;file=Free%20Lightroom%20Tutorial%20%20Adobe%20Lightroom%20Essentials%20Training%20Course.md","Free Lightroom Tutorial  Adobe Lightroom Essentials Training Course")</f>
        <v>Free Lightroom Tutorial  Adobe Lightroom Essentials Training Course</v>
      </c>
      <c r="N215" s="11" t="s">
        <v>175</v>
      </c>
      <c r="AF215" s="11">
        <f>SUBTOTAL(3,_xlfn.SINGLE(tbl_tags[RowId]))</f>
        <v>1</v>
      </c>
    </row>
    <row r="216" spans="5:32">
      <c r="E216" t="str">
        <f>IF(G216&lt;&gt;tbl_tags[[#This Row],[Tags]],"X","")</f>
        <v>X</v>
      </c>
      <c r="G216" s="258" t="s">
        <v>2434</v>
      </c>
      <c r="J216" s="4">
        <v>194</v>
      </c>
      <c r="K216" s="20" t="s">
        <v>2433</v>
      </c>
      <c r="L216" s="4">
        <v>1</v>
      </c>
      <c r="M216" s="21" t="str">
        <f>HYPERLINK("obsidian://open?vault=o2&amp;file=Wikipedia%20Portal%20Literature.md","Wikipedia Portal Literature")</f>
        <v>Wikipedia Portal Literature</v>
      </c>
      <c r="N216" s="11" t="s">
        <v>175</v>
      </c>
      <c r="AF216" s="11">
        <f>SUBTOTAL(3,_xlfn.SINGLE(tbl_tags[RowId]))</f>
        <v>1</v>
      </c>
    </row>
    <row r="217" spans="5:32">
      <c r="E217" t="str">
        <f>IF(G217&lt;&gt;tbl_tags[[#This Row],[Tags]],"X","")</f>
        <v>X</v>
      </c>
      <c r="G217" s="259" t="s">
        <v>2435</v>
      </c>
      <c r="J217" s="4">
        <v>195</v>
      </c>
      <c r="K217" s="20" t="s">
        <v>2434</v>
      </c>
      <c r="L217" s="4">
        <v>1</v>
      </c>
      <c r="M217" s="21" t="str">
        <f>HYPERLINK("obsidian://open?vault=o2&amp;file=Medications%20Log.md","Medications Log")</f>
        <v>Medications Log</v>
      </c>
      <c r="N217" s="11" t="s">
        <v>175</v>
      </c>
      <c r="AF217" s="11">
        <f>SUBTOTAL(3,_xlfn.SINGLE(tbl_tags[RowId]))</f>
        <v>1</v>
      </c>
    </row>
    <row r="218" spans="5:32">
      <c r="E218" t="str">
        <f>IF(G218&lt;&gt;tbl_tags[[#This Row],[Tags]],"X","")</f>
        <v>X</v>
      </c>
      <c r="G218" s="258" t="s">
        <v>2436</v>
      </c>
      <c r="J218" s="4">
        <v>196</v>
      </c>
      <c r="K218" s="20" t="s">
        <v>2435</v>
      </c>
      <c r="L218" s="4">
        <v>2</v>
      </c>
      <c r="M218" s="21" t="str">
        <f>HYPERLINK("obsidian://open?vault=o2&amp;file=%E2%9A%92%EF%B8%8F%20FUE%20-%20Frequently%20Used%20Emoji%27s.md","⚒️ FUE - Frequently Used Emoji's")</f>
        <v>⚒️ FUE - Frequently Used Emoji's</v>
      </c>
      <c r="N218" s="11" t="s">
        <v>175</v>
      </c>
      <c r="O218" s="21" t="str">
        <f>HYPERLINK("obsidian://open?vault=o2&amp;file=%E2%9A%92%EF%B8%8F%20FUN%20-%20Frequently%20Used%20Notes.md","⚒️ FUN - Frequently Used Notes")</f>
        <v>⚒️ FUN - Frequently Used Notes</v>
      </c>
      <c r="P218" s="11" t="s">
        <v>175</v>
      </c>
      <c r="AF218" s="11">
        <f>SUBTOTAL(3,_xlfn.SINGLE(tbl_tags[RowId]))</f>
        <v>1</v>
      </c>
    </row>
    <row r="219" spans="5:32">
      <c r="E219" t="str">
        <f>IF(G219&lt;&gt;tbl_tags[[#This Row],[Tags]],"X","")</f>
        <v>X</v>
      </c>
      <c r="G219" s="259" t="s">
        <v>1270</v>
      </c>
      <c r="J219" s="4">
        <v>197</v>
      </c>
      <c r="K219" s="20" t="s">
        <v>2436</v>
      </c>
      <c r="L219" s="4">
        <v>1</v>
      </c>
      <c r="M219" s="21" t="str">
        <f>HYPERLINK("obsidian://open?vault=o2&amp;file=cPanel%20Alternatives.md","cPanel Alternatives")</f>
        <v>cPanel Alternatives</v>
      </c>
      <c r="N219" s="11" t="s">
        <v>175</v>
      </c>
      <c r="AF219" s="11">
        <f>SUBTOTAL(3,_xlfn.SINGLE(tbl_tags[RowId]))</f>
        <v>1</v>
      </c>
    </row>
    <row r="220" spans="5:32">
      <c r="E220" t="str">
        <f>IF(G220&lt;&gt;tbl_tags[[#This Row],[Tags]],"X","")</f>
        <v>X</v>
      </c>
      <c r="G220" s="258" t="s">
        <v>2437</v>
      </c>
      <c r="J220" s="4">
        <v>198</v>
      </c>
      <c r="K220" s="20" t="s">
        <v>1270</v>
      </c>
      <c r="L220" s="4">
        <v>1</v>
      </c>
      <c r="M220" s="21" t="str">
        <f>HYPERLINK("obsidian://open?vault=o2&amp;file=%E2%9A%A1%20CasaOS%20Project.md","⚡ CasaOS Project")</f>
        <v>⚡ CasaOS Project</v>
      </c>
      <c r="N220" s="11" t="s">
        <v>175</v>
      </c>
      <c r="AF220" s="11">
        <f>SUBTOTAL(3,_xlfn.SINGLE(tbl_tags[RowId]))</f>
        <v>1</v>
      </c>
    </row>
    <row r="221" spans="5:32">
      <c r="E221" t="str">
        <f>IF(G221&lt;&gt;tbl_tags[[#This Row],[Tags]],"X","")</f>
        <v>X</v>
      </c>
      <c r="G221" s="259" t="s">
        <v>2438</v>
      </c>
      <c r="J221" s="4">
        <v>199</v>
      </c>
      <c r="K221" s="20" t="s">
        <v>2437</v>
      </c>
      <c r="L221" s="4">
        <v>1</v>
      </c>
      <c r="M221" s="21" t="str">
        <f>HYPERLINK("obsidian://open?vault=o2&amp;file=JM%27s%20Make.md%20notes.md","JM's Make notes")</f>
        <v>JM's Make notes</v>
      </c>
      <c r="N221" s="11" t="s">
        <v>175</v>
      </c>
      <c r="AF221" s="11">
        <f>SUBTOTAL(3,_xlfn.SINGLE(tbl_tags[RowId]))</f>
        <v>1</v>
      </c>
    </row>
    <row r="222" spans="5:32">
      <c r="E222" t="str">
        <f>IF(G222&lt;&gt;tbl_tags[[#This Row],[Tags]],"X","")</f>
        <v>X</v>
      </c>
      <c r="G222" s="258" t="s">
        <v>2439</v>
      </c>
      <c r="J222" s="4">
        <v>200</v>
      </c>
      <c r="K222" s="20" t="s">
        <v>2438</v>
      </c>
      <c r="L222" s="4">
        <v>2</v>
      </c>
      <c r="M222" s="21" t="str">
        <f>HYPERLINK("obsidian://open?vault=o2&amp;file=Obsidian%20Community%20Plugins.md","Obsidian Community Plugins")</f>
        <v>Obsidian Community Plugins</v>
      </c>
      <c r="N222" s="11" t="s">
        <v>175</v>
      </c>
      <c r="O222" s="21" t="str">
        <f>HYPERLINK("obsidian://open?vault=o2&amp;file=Obsidian%20Tracker%20Plugin.md","Obsidian Tracker Plugin")</f>
        <v>Obsidian Tracker Plugin</v>
      </c>
      <c r="P222" s="11" t="s">
        <v>175</v>
      </c>
      <c r="AF222" s="11">
        <f>SUBTOTAL(3,_xlfn.SINGLE(tbl_tags[RowId]))</f>
        <v>1</v>
      </c>
    </row>
    <row r="223" spans="5:32">
      <c r="E223" t="str">
        <f>IF(G223&lt;&gt;tbl_tags[[#This Row],[Tags]],"X","")</f>
        <v>X</v>
      </c>
      <c r="G223" s="259" t="s">
        <v>2440</v>
      </c>
      <c r="J223" s="4">
        <v>201</v>
      </c>
      <c r="K223" s="20" t="s">
        <v>2439</v>
      </c>
      <c r="L223" s="4">
        <v>2</v>
      </c>
      <c r="M223" s="21" t="str">
        <f>HYPERLINK("obsidian://open?vault=o2&amp;file=12%20Step%20Poetry.md","12 Step Poetry")</f>
        <v>12 Step Poetry</v>
      </c>
      <c r="N223" s="11" t="s">
        <v>175</v>
      </c>
      <c r="O223" s="21" t="str">
        <f>HYPERLINK("obsidian://open?vault=o2&amp;file=Draft%20Notes%20for%20Poetry.md","Draft Notes for Poetry")</f>
        <v>Draft Notes for Poetry</v>
      </c>
      <c r="P223" s="11" t="s">
        <v>175</v>
      </c>
      <c r="AF223" s="11">
        <f>SUBTOTAL(3,_xlfn.SINGLE(tbl_tags[RowId]))</f>
        <v>1</v>
      </c>
    </row>
    <row r="224" spans="5:32">
      <c r="E224" t="str">
        <f>IF(G224&lt;&gt;tbl_tags[[#This Row],[Tags]],"X","")</f>
        <v>X</v>
      </c>
      <c r="G224" s="258" t="s">
        <v>2441</v>
      </c>
      <c r="J224" s="4">
        <v>202</v>
      </c>
      <c r="K224" s="20" t="s">
        <v>2440</v>
      </c>
      <c r="L224" s="4">
        <v>1</v>
      </c>
      <c r="M224" s="21" t="str">
        <f>HYPERLINK("obsidian://open?vault=o2&amp;file=Colbert%20Diff%20between%20Classified%20Documents%20Biden%20vs.%20Trump.md","Colbert Diff between Classified Documents Biden vs. Trump")</f>
        <v>Colbert Diff between Classified Documents Biden vs. Trump</v>
      </c>
      <c r="N224" s="11" t="s">
        <v>175</v>
      </c>
      <c r="AF224" s="11">
        <f>SUBTOTAL(3,_xlfn.SINGLE(tbl_tags[RowId]))</f>
        <v>1</v>
      </c>
    </row>
    <row r="225" spans="5:32">
      <c r="E225" t="str">
        <f>IF(G225&lt;&gt;tbl_tags[[#This Row],[Tags]],"X","")</f>
        <v>X</v>
      </c>
      <c r="G225" s="259" t="s">
        <v>2442</v>
      </c>
      <c r="J225" s="4">
        <v>203</v>
      </c>
      <c r="K225" s="20" t="s">
        <v>2441</v>
      </c>
      <c r="L225" s="4">
        <v>5</v>
      </c>
      <c r="M225" s="21" t="str">
        <f>HYPERLINK("obsidian://open?vault=o2&amp;file=Common%20cPanel%20Ports.md","Common cPanel Ports")</f>
        <v>Common cPanel Ports</v>
      </c>
      <c r="N225" s="11" t="s">
        <v>175</v>
      </c>
      <c r="O225" s="21" t="str">
        <f>HYPERLINK("obsidian://open?vault=o2&amp;file=Latest%20Network%20Mappings.md","Latest Network Mappings")</f>
        <v>Latest Network Mappings</v>
      </c>
      <c r="P225" s="11" t="s">
        <v>175</v>
      </c>
      <c r="Q225" s="21" t="str">
        <f>HYPERLINK("obsidian://open?vault=o2&amp;file=Port%20Forwarding%20on%20Xfinity.md","Port Forwarding on Xfinity")</f>
        <v>Port Forwarding on Xfinity</v>
      </c>
      <c r="R225" s="11" t="s">
        <v>175</v>
      </c>
      <c r="S225" s="21" t="str">
        <f>HYPERLINK("obsidian://open?vault=o2&amp;file=Secure%20Remote%20Access.md","Secure Remote Access")</f>
        <v>Secure Remote Access</v>
      </c>
      <c r="T225" s="11" t="s">
        <v>175</v>
      </c>
      <c r="U225" s="21" t="str">
        <f>HYPERLINK("obsidian://open?vault=o2&amp;file=Useful%20Networking%20Commands.md","Useful Networking Commands")</f>
        <v>Useful Networking Commands</v>
      </c>
      <c r="V225" s="11" t="s">
        <v>175</v>
      </c>
      <c r="AF225" s="11">
        <f>SUBTOTAL(3,_xlfn.SINGLE(tbl_tags[RowId]))</f>
        <v>1</v>
      </c>
    </row>
    <row r="226" spans="5:32">
      <c r="E226" t="str">
        <f>IF(G226&lt;&gt;tbl_tags[[#This Row],[Tags]],"X","")</f>
        <v>X</v>
      </c>
      <c r="G226" s="258" t="s">
        <v>2443</v>
      </c>
      <c r="J226" s="4">
        <v>204</v>
      </c>
      <c r="K226" s="20" t="s">
        <v>2442</v>
      </c>
      <c r="L226" s="4">
        <v>1</v>
      </c>
      <c r="M226" s="21" t="str">
        <f>HYPERLINK("obsidian://open?vault=o2&amp;file=Python%20Style%20Guide.md","Python Style Guide")</f>
        <v>Python Style Guide</v>
      </c>
      <c r="N226" s="11" t="s">
        <v>175</v>
      </c>
      <c r="AF226" s="11">
        <f>SUBTOTAL(3,_xlfn.SINGLE(tbl_tags[RowId]))</f>
        <v>1</v>
      </c>
    </row>
    <row r="227" spans="5:32">
      <c r="E227" t="str">
        <f>IF(G227&lt;&gt;tbl_tags[[#This Row],[Tags]],"X","")</f>
        <v>X</v>
      </c>
      <c r="G227" s="259" t="s">
        <v>2444</v>
      </c>
      <c r="J227" s="4">
        <v>205</v>
      </c>
      <c r="K227" s="20" t="s">
        <v>2443</v>
      </c>
      <c r="L227" s="4">
        <v>1</v>
      </c>
      <c r="M227" s="21" t="str">
        <f>HYPERLINK("obsidian://open?vault=o2&amp;file=Daily%20Prayers.md","Daily Prayers")</f>
        <v>Daily Prayers</v>
      </c>
      <c r="N227" s="11" t="s">
        <v>175</v>
      </c>
      <c r="AF227" s="11">
        <f>SUBTOTAL(3,_xlfn.SINGLE(tbl_tags[RowId]))</f>
        <v>1</v>
      </c>
    </row>
    <row r="228" spans="5:32">
      <c r="E228" t="str">
        <f>IF(G228&lt;&gt;tbl_tags[[#This Row],[Tags]],"X","")</f>
        <v>X</v>
      </c>
      <c r="G228" s="258" t="s">
        <v>2445</v>
      </c>
      <c r="J228" s="4">
        <v>206</v>
      </c>
      <c r="K228" s="20" t="s">
        <v>2444</v>
      </c>
      <c r="L228" s="4">
        <v>1</v>
      </c>
      <c r="M228"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228" s="11" t="s">
        <v>175</v>
      </c>
      <c r="AF228" s="11">
        <f>SUBTOTAL(3,_xlfn.SINGLE(tbl_tags[RowId]))</f>
        <v>1</v>
      </c>
    </row>
    <row r="229" spans="5:32">
      <c r="E229" t="str">
        <f>IF(G229&lt;&gt;tbl_tags[[#This Row],[Tags]],"X","")</f>
        <v>X</v>
      </c>
      <c r="G229" s="259" t="s">
        <v>118</v>
      </c>
      <c r="J229" s="4">
        <v>207</v>
      </c>
      <c r="K229" s="20" t="s">
        <v>2445</v>
      </c>
      <c r="L229" s="4">
        <v>1</v>
      </c>
      <c r="M229" s="21" t="str">
        <f>HYPERLINK("obsidian://open?vault=o2&amp;file=Setup%20Servarr.md","Setup Servarr")</f>
        <v>Setup Servarr</v>
      </c>
      <c r="N229" s="11" t="s">
        <v>175</v>
      </c>
      <c r="AF229" s="11">
        <f>SUBTOTAL(3,_xlfn.SINGLE(tbl_tags[RowId]))</f>
        <v>1</v>
      </c>
    </row>
    <row r="230" spans="5:32">
      <c r="E230" t="str">
        <f>IF(G230&lt;&gt;tbl_tags[[#This Row],[Tags]],"X","")</f>
        <v>X</v>
      </c>
      <c r="G230" s="258" t="s">
        <v>2446</v>
      </c>
      <c r="J230" s="4">
        <v>208</v>
      </c>
      <c r="K230" s="20" t="s">
        <v>118</v>
      </c>
      <c r="L230" s="4">
        <v>1</v>
      </c>
      <c r="M230" s="21" t="str">
        <f>HYPERLINK("obsidian://open?vault=o2&amp;file=Todoist%20Sync%20Plugin.md","Todoist Sync Plugin")</f>
        <v>Todoist Sync Plugin</v>
      </c>
      <c r="N230" s="11" t="s">
        <v>175</v>
      </c>
      <c r="AF230" s="11">
        <f>SUBTOTAL(3,_xlfn.SINGLE(tbl_tags[RowId]))</f>
        <v>1</v>
      </c>
    </row>
    <row r="231" spans="5:32">
      <c r="E231" t="str">
        <f>IF(G231&lt;&gt;tbl_tags[[#This Row],[Tags]],"X","")</f>
        <v>X</v>
      </c>
      <c r="G231" s="259" t="s">
        <v>2447</v>
      </c>
      <c r="J231" s="4">
        <v>209</v>
      </c>
      <c r="K231" s="20" t="s">
        <v>2446</v>
      </c>
      <c r="L231" s="4">
        <v>20</v>
      </c>
      <c r="M231" s="21" t="str">
        <f>HYPERLINK("obsidian://open?vault=o2&amp;file=%E2%9A%A1%20Add%20Notebook%20Areas%20and%20Resources%20Project.md","⚡ Add Notebook Areas and Resources Project")</f>
        <v>⚡ Add Notebook Areas and Resources Project</v>
      </c>
      <c r="N231" s="11" t="s">
        <v>175</v>
      </c>
      <c r="O231" s="21" t="str">
        <f>HYPERLINK("obsidian://open?vault=o2&amp;file=%E2%9A%A1%20My%20Projects.md","⚡ My Projects")</f>
        <v>⚡ My Projects</v>
      </c>
      <c r="P231" s="11" t="s">
        <v>175</v>
      </c>
      <c r="Q231" s="21" t="str">
        <f>HYPERLINK("obsidian://open?vault=o2&amp;file=%E2%9A%A1%20CasaOS%20Project.md","⚡ CasaOS Project")</f>
        <v>⚡ CasaOS Project</v>
      </c>
      <c r="R231" s="11" t="s">
        <v>175</v>
      </c>
      <c r="S231" s="21" t="str">
        <f>HYPERLINK("obsidian://open?vault=o2&amp;file=%E2%9A%A1%20Cheatsheets%20Library.md","⚡ Cheatsheets Library")</f>
        <v>⚡ Cheatsheets Library</v>
      </c>
      <c r="T231" s="11" t="s">
        <v>175</v>
      </c>
      <c r="U231" s="21" t="str">
        <f>HYPERLINK("obsidian://open?vault=o2&amp;file=%E2%9A%A1%20Coding.md","⚡ Coding")</f>
        <v>⚡ Coding</v>
      </c>
      <c r="V231" s="11" t="s">
        <v>175</v>
      </c>
      <c r="W231" s="21" t="str">
        <f>HYPERLINK("obsidian://open?vault=o2&amp;file=%E2%9A%A1%20Create%20a%20Recipe%20Cookbook.md","⚡ Create a Recipe Cookbook")</f>
        <v>⚡ Create a Recipe Cookbook</v>
      </c>
      <c r="X231" s="11" t="s">
        <v>175</v>
      </c>
      <c r="Y231" s="21" t="str">
        <f>HYPERLINK("obsidian://open?vault=o2&amp;file=%E2%9A%A1%20Debug%20metaCatchall%20Project.md","⚡ Debug metaCatchall Project")</f>
        <v>⚡ Debug metaCatchall Project</v>
      </c>
      <c r="Z231" s="11" t="s">
        <v>175</v>
      </c>
      <c r="AA231" s="21" t="str">
        <f>HYPERLINK("obsidian://open?vault=o2&amp;file=%E2%9A%A1%20Home%20Project.md","⚡ Home Project")</f>
        <v>⚡ Home Project</v>
      </c>
      <c r="AB231" s="11" t="s">
        <v>175</v>
      </c>
      <c r="AC231" s="21" t="str">
        <f>HYPERLINK("obsidian://open?vault=o2&amp;file=%E2%9A%A1%20Image%20Categorization%20Project.md","⚡ Image Categorization Project")</f>
        <v>⚡ Image Categorization Project</v>
      </c>
      <c r="AD231" s="11" t="s">
        <v>175</v>
      </c>
      <c r="AE231" s="21" t="str">
        <f>HYPERLINK("obsidian://open?vault=o2&amp;file=%E2%9A%A1%20Learn%20Python%20and%20OOP%20Project.md","⚡ Learn Python and OOP Project")</f>
        <v>⚡ Learn Python and OOP Project</v>
      </c>
      <c r="AF231" s="11">
        <f>SUBTOTAL(3,_xlfn.SINGLE(tbl_tags[RowId]))</f>
        <v>1</v>
      </c>
    </row>
    <row r="232" spans="5:32">
      <c r="E232" t="str">
        <f>IF(G232&lt;&gt;tbl_tags[[#This Row],[Tags]],"X","")</f>
        <v>X</v>
      </c>
      <c r="G232" s="258" t="s">
        <v>2448</v>
      </c>
      <c r="J232" s="4">
        <v>210</v>
      </c>
      <c r="K232" s="20" t="s">
        <v>2447</v>
      </c>
      <c r="L232" s="4">
        <v>1</v>
      </c>
      <c r="M232" s="21" t="str">
        <f>HYPERLINK("obsidian://open?vault=o2&amp;file=Python%20Style%20Guide.md","Python Style Guide")</f>
        <v>Python Style Guide</v>
      </c>
      <c r="N232" s="11" t="s">
        <v>175</v>
      </c>
      <c r="AF232" s="11">
        <f>SUBTOTAL(3,_xlfn.SINGLE(tbl_tags[RowId]))</f>
        <v>1</v>
      </c>
    </row>
    <row r="233" spans="5:32">
      <c r="E233" t="str">
        <f>IF(G233&lt;&gt;tbl_tags[[#This Row],[Tags]],"X","")</f>
        <v>X</v>
      </c>
      <c r="G233" s="259" t="s">
        <v>2449</v>
      </c>
      <c r="J233" s="4">
        <v>211</v>
      </c>
      <c r="K233" s="20" t="s">
        <v>2448</v>
      </c>
      <c r="L233" s="4">
        <v>2</v>
      </c>
      <c r="M233" s="21" t="str">
        <f>HYPERLINK("obsidian://open?vault=o2&amp;file=Setup%20Servarr.md","Setup Servarr")</f>
        <v>Setup Servarr</v>
      </c>
      <c r="N233" s="11" t="s">
        <v>175</v>
      </c>
      <c r="O233" s="21" t="str">
        <f>HYPERLINK("obsidian://open?vault=o2&amp;file=Setup%20Sabnzbd.md","Setup Sabnzbd")</f>
        <v>Setup Sabnzbd</v>
      </c>
      <c r="P233" s="11" t="s">
        <v>175</v>
      </c>
      <c r="AF233" s="11">
        <f>SUBTOTAL(3,_xlfn.SINGLE(tbl_tags[RowId]))</f>
        <v>1</v>
      </c>
    </row>
    <row r="234" spans="5:32">
      <c r="E234" t="str">
        <f>IF(G234&lt;&gt;tbl_tags[[#This Row],[Tags]],"X","")</f>
        <v>X</v>
      </c>
      <c r="G234" s="258" t="s">
        <v>2450</v>
      </c>
      <c r="J234" s="4">
        <v>212</v>
      </c>
      <c r="K234" s="20" t="s">
        <v>2449</v>
      </c>
      <c r="L234" s="4">
        <v>2</v>
      </c>
      <c r="M234" s="21" t="str">
        <f>HYPERLINK("obsidian://open?vault=o2&amp;file=Secure%20Remote%20Access.md","Secure Remote Access")</f>
        <v>Secure Remote Access</v>
      </c>
      <c r="N234" s="11" t="s">
        <v>175</v>
      </c>
      <c r="O234" s="21" t="str">
        <f>HYPERLINK("obsidian://open?vault=o2&amp;file=Setup%20Nginx%20Proxy%20Manager.md","Setup Nginx Proxy Manager")</f>
        <v>Setup Nginx Proxy Manager</v>
      </c>
      <c r="P234" s="11" t="s">
        <v>175</v>
      </c>
      <c r="AF234" s="11">
        <f>SUBTOTAL(3,_xlfn.SINGLE(tbl_tags[RowId]))</f>
        <v>1</v>
      </c>
    </row>
    <row r="235" spans="5:32">
      <c r="E235" t="str">
        <f>IF(G235&lt;&gt;tbl_tags[[#This Row],[Tags]],"X","")</f>
        <v>X</v>
      </c>
      <c r="G235" s="259" t="s">
        <v>2451</v>
      </c>
      <c r="J235" s="4">
        <v>213</v>
      </c>
      <c r="K235" s="20" t="s">
        <v>2450</v>
      </c>
      <c r="L235" s="4">
        <v>1</v>
      </c>
      <c r="M235" s="21" t="str">
        <f>HYPERLINK("obsidian://open?vault=o2&amp;file=Set%20Up%20and%20Secure%20a%20Compute%20Instance.md","Set Up and Secure a Compute Instance")</f>
        <v>Set Up and Secure a Compute Instance</v>
      </c>
      <c r="N235" s="11" t="s">
        <v>175</v>
      </c>
      <c r="AF235" s="11">
        <f>SUBTOTAL(3,_xlfn.SINGLE(tbl_tags[RowId]))</f>
        <v>1</v>
      </c>
    </row>
    <row r="236" spans="5:32">
      <c r="E236" t="str">
        <f>IF(G236&lt;&gt;tbl_tags[[#This Row],[Tags]],"X","")</f>
        <v>X</v>
      </c>
      <c r="G236" s="258" t="s">
        <v>2452</v>
      </c>
      <c r="J236" s="4">
        <v>214</v>
      </c>
      <c r="K236" s="20" t="s">
        <v>2451</v>
      </c>
      <c r="L236" s="4">
        <v>1</v>
      </c>
      <c r="M236" s="21" t="str">
        <f>HYPERLINK("obsidian://open?vault=o2&amp;file=Roboform%20License.md","Roboform License")</f>
        <v>Roboform License</v>
      </c>
      <c r="N236" s="11" t="s">
        <v>175</v>
      </c>
      <c r="AF236" s="11">
        <f>SUBTOTAL(3,_xlfn.SINGLE(tbl_tags[RowId]))</f>
        <v>1</v>
      </c>
    </row>
    <row r="237" spans="5:32">
      <c r="E237" t="str">
        <f>IF(G237&lt;&gt;tbl_tags[[#This Row],[Tags]],"X","")</f>
        <v>X</v>
      </c>
      <c r="G237" s="259" t="s">
        <v>2453</v>
      </c>
      <c r="J237" s="4">
        <v>215</v>
      </c>
      <c r="K237" s="20" t="s">
        <v>2452</v>
      </c>
      <c r="L237" s="4">
        <v>1</v>
      </c>
      <c r="M237" s="21" t="str">
        <f>HYPERLINK("obsidian://open?vault=o2&amp;file=Magazines%20Ordered%20Jan-2023.md","Magazines Ordered Jan-2023")</f>
        <v>Magazines Ordered Jan-2023</v>
      </c>
      <c r="N237" s="11" t="s">
        <v>175</v>
      </c>
      <c r="AF237" s="11">
        <f>SUBTOTAL(3,_xlfn.SINGLE(tbl_tags[RowId]))</f>
        <v>1</v>
      </c>
    </row>
    <row r="238" spans="5:32">
      <c r="E238" t="str">
        <f>IF(G238&lt;&gt;tbl_tags[[#This Row],[Tags]],"X","")</f>
        <v>X</v>
      </c>
      <c r="G238" s="258" t="s">
        <v>2454</v>
      </c>
      <c r="J238" s="4">
        <v>216</v>
      </c>
      <c r="K238" s="20" t="s">
        <v>2453</v>
      </c>
      <c r="L238" s="4">
        <v>8</v>
      </c>
      <c r="M238" s="21" t="str">
        <f>HYPERLINK("obsidian://open?vault=o2&amp;file=Learn%20Python%20in%20Y%20Minutes.md","Learn Python in Y Minutes")</f>
        <v>Learn Python in Y Minutes</v>
      </c>
      <c r="N238" s="11" t="s">
        <v>175</v>
      </c>
      <c r="O238" s="21" t="str">
        <f>HYPERLINK("obsidian://open?vault=o2&amp;file=Setup%20bash%20and%20VIM.md","Setup bash and VIM")</f>
        <v>Setup bash and VIM</v>
      </c>
      <c r="P238" s="11" t="s">
        <v>175</v>
      </c>
      <c r="Q238" s="21" t="str">
        <f>HYPERLINK("obsidian://open?vault=o2&amp;file=%F0%9F%92%A1%20Idea%20to%20extend%20v_chk%20Wb%20Engine.md","💡 Idea to extend v_chk Wb Engine")</f>
        <v>💡 Idea to extend v_chk Wb Engine</v>
      </c>
      <c r="R238" s="11" t="s">
        <v>175</v>
      </c>
      <c r="S238" s="21" t="str">
        <f>HYPERLINK("obsidian://open?vault=o2&amp;file=YAML%20Fix%20Tool.md","YAML Fix Tool")</f>
        <v>YAML Fix Tool</v>
      </c>
      <c r="T238" s="11" t="s">
        <v>175</v>
      </c>
      <c r="U238" s="21" t="str">
        <f>HYPERLINK("obsidian://open?vault=o2&amp;file=YAML%20Tool%20Definition.md","YAML Tool Definition")</f>
        <v>YAML Tool Definition</v>
      </c>
      <c r="V238" s="11" t="s">
        <v>175</v>
      </c>
      <c r="W238" s="21" t="str">
        <f>HYPERLINK("obsidian://open?vault=o2&amp;file=How%20to%20Make%20Changes%20to%20Multiple%20Files%20Using%20Python%20%20Envato%20Tuts%2B.md","How to Make Changes to Multiple Files Using Python  Envato Tuts+")</f>
        <v>How to Make Changes to Multiple Files Using Python  Envato Tuts+</v>
      </c>
      <c r="X238" s="11" t="s">
        <v>175</v>
      </c>
      <c r="Y238" s="21" t="str">
        <f>HYPERLINK("obsidian://open?vault=o2&amp;file=Python%20Style%20Guide.md","Python Style Guide")</f>
        <v>Python Style Guide</v>
      </c>
      <c r="Z238" s="11" t="s">
        <v>175</v>
      </c>
      <c r="AA238" s="21" t="str">
        <f>HYPERLINK("obsidian://open?vault=o2&amp;file=personsDB%20Maintenance.md","personsDB Maintenance")</f>
        <v>personsDB Maintenance</v>
      </c>
      <c r="AB238" s="11" t="s">
        <v>175</v>
      </c>
      <c r="AF238" s="11">
        <f>SUBTOTAL(3,_xlfn.SINGLE(tbl_tags[RowId]))</f>
        <v>1</v>
      </c>
    </row>
    <row r="239" spans="5:32">
      <c r="E239" t="str">
        <f>IF(G239&lt;&gt;tbl_tags[[#This Row],[Tags]],"X","")</f>
        <v>X</v>
      </c>
      <c r="G239" s="259" t="s">
        <v>2455</v>
      </c>
      <c r="J239" s="4">
        <v>217</v>
      </c>
      <c r="K239" s="20" t="s">
        <v>2454</v>
      </c>
      <c r="L239" s="4">
        <v>1</v>
      </c>
      <c r="M239" s="21" t="str">
        <f>HYPERLINK("obsidian://open?vault=o2&amp;file=Best%20qBittorrents%20Settings%20%28Plus%20Port%20Forwarder%29.md","Best qBittorrents Settings (Plus Port Forwarder)")</f>
        <v>Best qBittorrents Settings (Plus Port Forwarder)</v>
      </c>
      <c r="N239" s="11" t="s">
        <v>175</v>
      </c>
      <c r="AF239" s="11">
        <f>SUBTOTAL(3,_xlfn.SINGLE(tbl_tags[RowId]))</f>
        <v>1</v>
      </c>
    </row>
    <row r="240" spans="5:32">
      <c r="E240" t="str">
        <f>IF(G240&lt;&gt;tbl_tags[[#This Row],[Tags]],"X","")</f>
        <v>X</v>
      </c>
      <c r="G240" s="258" t="s">
        <v>1334</v>
      </c>
      <c r="J240" s="4">
        <v>218</v>
      </c>
      <c r="K240" s="20" t="s">
        <v>2455</v>
      </c>
      <c r="L240" s="4">
        <v>1</v>
      </c>
      <c r="M240" s="21" t="str">
        <f>HYPERLINK("obsidian://open?vault=o2&amp;file=Simple%20Peeps%20Query.md","Simple Peeps Query")</f>
        <v>Simple Peeps Query</v>
      </c>
      <c r="N240" s="11" t="s">
        <v>175</v>
      </c>
      <c r="AF240" s="11">
        <f>SUBTOTAL(3,_xlfn.SINGLE(tbl_tags[RowId]))</f>
        <v>1</v>
      </c>
    </row>
    <row r="241" spans="5:32">
      <c r="E241" t="str">
        <f>IF(G241&lt;&gt;tbl_tags[[#This Row],[Tags]],"X","")</f>
        <v>X</v>
      </c>
      <c r="G241" s="259" t="s">
        <v>2456</v>
      </c>
      <c r="J241" s="4">
        <v>219</v>
      </c>
      <c r="K241" s="20" t="s">
        <v>1334</v>
      </c>
      <c r="L241" s="4">
        <v>2</v>
      </c>
      <c r="M241" s="21" t="str">
        <f>HYPERLINK("obsidian://open?vault=o2&amp;file=Setup%20Servarr.md","Setup Servarr")</f>
        <v>Setup Servarr</v>
      </c>
      <c r="N241" s="11" t="s">
        <v>175</v>
      </c>
      <c r="O241" s="21" t="str">
        <f>HYPERLINK("obsidian://open?vault=o2&amp;file=Setup%20Sabnzbd.md","Setup Sabnzbd")</f>
        <v>Setup Sabnzbd</v>
      </c>
      <c r="P241" s="11" t="s">
        <v>175</v>
      </c>
      <c r="AF241" s="11">
        <f>SUBTOTAL(3,_xlfn.SINGLE(tbl_tags[RowId]))</f>
        <v>1</v>
      </c>
    </row>
    <row r="242" spans="5:32">
      <c r="E242" t="str">
        <f>IF(G242&lt;&gt;tbl_tags[[#This Row],[Tags]],"X","")</f>
        <v>X</v>
      </c>
      <c r="G242" s="258" t="s">
        <v>1002</v>
      </c>
      <c r="J242" s="4">
        <v>220</v>
      </c>
      <c r="K242" s="20" t="s">
        <v>2456</v>
      </c>
      <c r="L242" s="4">
        <v>2</v>
      </c>
      <c r="M242" s="21" t="str">
        <f>HYPERLINK("obsidian://open?vault=o2&amp;file=Setup%20Servarr.md","Setup Servarr")</f>
        <v>Setup Servarr</v>
      </c>
      <c r="N242" s="11" t="s">
        <v>175</v>
      </c>
      <c r="O242" s="21" t="str">
        <f>HYPERLINK("obsidian://open?vault=o2&amp;file=Setup%20Sabnzbd.md","Setup Sabnzbd")</f>
        <v>Setup Sabnzbd</v>
      </c>
      <c r="P242" s="11" t="s">
        <v>175</v>
      </c>
      <c r="AF242" s="11">
        <f>SUBTOTAL(3,_xlfn.SINGLE(tbl_tags[RowId]))</f>
        <v>1</v>
      </c>
    </row>
    <row r="243" spans="5:32">
      <c r="E243" t="str">
        <f>IF(G243&lt;&gt;tbl_tags[[#This Row],[Tags]],"X","")</f>
        <v>X</v>
      </c>
      <c r="G243" s="259" t="s">
        <v>2457</v>
      </c>
      <c r="J243" s="4">
        <v>221</v>
      </c>
      <c r="K243" s="20" t="s">
        <v>1002</v>
      </c>
      <c r="L243" s="4">
        <v>4</v>
      </c>
      <c r="M243" s="21" t="str">
        <f>HYPERLINK("obsidian://open?vault=o2&amp;file=Charred%20Broccoli%2C%20Mushroom%20%26%20Egg%20Stratta.md","Charred Broccoli, Mushroom &amp; Egg Stratta")</f>
        <v>Charred Broccoli, Mushroom &amp; Egg Stratta</v>
      </c>
      <c r="N243" s="11" t="s">
        <v>175</v>
      </c>
      <c r="O243" s="21" t="str">
        <f>HYPERLINK("obsidian://open?vault=o2&amp;file=How%20To%20Cook%20a%20Chicken%20Breast%20-%20FlavCity%20with%20Bobby%20Parrish.md","How To Cook a Chicken Breast - FlavCity with Bobby Parrish")</f>
        <v>How To Cook a Chicken Breast - FlavCity with Bobby Parrish</v>
      </c>
      <c r="P243" s="11" t="s">
        <v>175</v>
      </c>
      <c r="Q243" s="21" t="str">
        <f>HYPERLINK("obsidian://open?vault=o2&amp;file=Peel-and-Eat%20Spiced%20Shrimp%20with%20Chipotle%20R%C3%A9moulade.md","Peel-and-Eat Spiced Shrimp with Chipotle Rémoulade")</f>
        <v>Peel-and-Eat Spiced Shrimp with Chipotle Rémoulade</v>
      </c>
      <c r="R243" s="11" t="s">
        <v>175</v>
      </c>
      <c r="S243" s="21" t="str">
        <f>HYPERLINK("obsidian://open?vault=o2&amp;file=Franks%27s%20Buffallo%20Chicken%20Dip.md","Franks's Buffallo Chicken Dip")</f>
        <v>Franks's Buffallo Chicken Dip</v>
      </c>
      <c r="T243" s="11" t="s">
        <v>175</v>
      </c>
      <c r="AF243" s="11">
        <f>SUBTOTAL(3,_xlfn.SINGLE(tbl_tags[RowId]))</f>
        <v>1</v>
      </c>
    </row>
    <row r="244" spans="5:32">
      <c r="E244" t="str">
        <f>IF(G244&lt;&gt;tbl_tags[[#This Row],[Tags]],"X","")</f>
        <v>X</v>
      </c>
      <c r="G244" s="258" t="s">
        <v>2458</v>
      </c>
      <c r="J244" s="4">
        <v>222</v>
      </c>
      <c r="K244" s="20" t="s">
        <v>2457</v>
      </c>
      <c r="L244" s="4">
        <v>31</v>
      </c>
      <c r="M244" s="21" t="str">
        <f>HYPERLINK("obsidian://open?vault=o2&amp;file=10th%20Step%20Homework.md","10th Step Homework")</f>
        <v>10th Step Homework</v>
      </c>
      <c r="N244" s="11" t="s">
        <v>175</v>
      </c>
      <c r="O244" s="21" t="str">
        <f>HYPERLINK("obsidian://open?vault=o2&amp;file=Colonoscopy%20Notes.md","Colonoscopy Notes")</f>
        <v>Colonoscopy Notes</v>
      </c>
      <c r="P244" s="11" t="s">
        <v>175</v>
      </c>
      <c r="Q244" s="21" t="str">
        <f>HYPERLINK("obsidian://open?vault=o2&amp;file=Make%20file%20metadata%20and%20properties%20separate%20concepts.md","Make file metadata and properties separate concepts")</f>
        <v>Make file metadata and properties separate concepts</v>
      </c>
      <c r="R244" s="11" t="s">
        <v>175</v>
      </c>
      <c r="S244" s="21" t="str">
        <f>HYPERLINK("obsidian://open?vault=o2&amp;file=My%20Adobe%20CS5.5%20Notes.md","My Adobe CS5.5 Notes")</f>
        <v>My Adobe CS5.5 Notes</v>
      </c>
      <c r="T244" s="11" t="s">
        <v>175</v>
      </c>
      <c r="U244" s="21" t="str">
        <f>HYPERLINK("obsidian://open?vault=o2&amp;file=My%20Firefox%20Plugins-2024.md","My Firefox Plugins-2024")</f>
        <v>My Firefox Plugins-2024</v>
      </c>
      <c r="V244" s="11" t="s">
        <v>175</v>
      </c>
      <c r="W244" s="21" t="str">
        <f>HYPERLINK("obsidian://open?vault=o2&amp;file=My%20MediaMonkey%20Notes.md","My MediaMonkey Notes")</f>
        <v>My MediaMonkey Notes</v>
      </c>
      <c r="X244" s="11" t="s">
        <v>175</v>
      </c>
      <c r="Y244" s="21" t="str">
        <f>HYPERLINK("obsidian://open?vault=o2&amp;file=Prism%20Mark%20Syntax%20for%20Colors.md","Prism Mark Syntax for Colors")</f>
        <v>Prism Mark Syntax for Colors</v>
      </c>
      <c r="Z244" s="11" t="s">
        <v>175</v>
      </c>
      <c r="AA244" s="21" t="str">
        <f>HYPERLINK("obsidian://open?vault=o2&amp;file=Sobriety%20Date.md","Sobriety Date")</f>
        <v>Sobriety Date</v>
      </c>
      <c r="AB244" s="11" t="s">
        <v>175</v>
      </c>
      <c r="AC244" s="21" t="str">
        <f>HYPERLINK("obsidian://open?vault=o2&amp;file=testTasklist.md","testTasklist")</f>
        <v>testTasklist</v>
      </c>
      <c r="AD244" s="11" t="s">
        <v>175</v>
      </c>
      <c r="AE244" s="21" t="str">
        <f>HYPERLINK("obsidian://open?vault=o2&amp;file=Untitled.md","Untitled")</f>
        <v>Untitled</v>
      </c>
      <c r="AF244" s="11">
        <f>SUBTOTAL(3,_xlfn.SINGLE(tbl_tags[RowId]))</f>
        <v>1</v>
      </c>
    </row>
    <row r="245" spans="5:32">
      <c r="E245" t="str">
        <f>IF(G245&lt;&gt;tbl_tags[[#This Row],[Tags]],"X","")</f>
        <v>X</v>
      </c>
      <c r="G245" s="259" t="s">
        <v>2459</v>
      </c>
      <c r="J245" s="4">
        <v>223</v>
      </c>
      <c r="K245" s="20" t="s">
        <v>2458</v>
      </c>
      <c r="L245" s="4">
        <v>1</v>
      </c>
      <c r="M245" s="21" t="str">
        <f>HYPERLINK("obsidian://open?vault=o2&amp;file=Setup%20Servarr.md","Setup Servarr")</f>
        <v>Setup Servarr</v>
      </c>
      <c r="N245" s="11" t="s">
        <v>175</v>
      </c>
      <c r="AF245" s="11">
        <f>SUBTOTAL(3,_xlfn.SINGLE(tbl_tags[RowId]))</f>
        <v>1</v>
      </c>
    </row>
    <row r="246" spans="5:32">
      <c r="E246" t="str">
        <f>IF(G246&lt;&gt;tbl_tags[[#This Row],[Tags]],"X","")</f>
        <v>X</v>
      </c>
      <c r="G246" s="258" t="s">
        <v>2460</v>
      </c>
      <c r="J246" s="4">
        <v>224</v>
      </c>
      <c r="K246" s="20" t="s">
        <v>2459</v>
      </c>
      <c r="L246" s="4">
        <v>2</v>
      </c>
      <c r="M246" s="21" t="str">
        <f>HYPERLINK("obsidian://open?vault=o2&amp;file=Glossary.md","Glossary")</f>
        <v>Glossary</v>
      </c>
      <c r="N246" s="11" t="s">
        <v>175</v>
      </c>
      <c r="O246" s="21" t="str">
        <f>HYPERLINK("obsidian://open?vault=o2&amp;file=Computer%20Cable%20Types.md","Computer Cable Types")</f>
        <v>Computer Cable Types</v>
      </c>
      <c r="P246" s="11" t="s">
        <v>175</v>
      </c>
      <c r="AF246" s="11">
        <f>SUBTOTAL(3,_xlfn.SINGLE(tbl_tags[RowId]))</f>
        <v>1</v>
      </c>
    </row>
    <row r="247" spans="5:32">
      <c r="E247" t="str">
        <f>IF(G247&lt;&gt;tbl_tags[[#This Row],[Tags]],"X","")</f>
        <v>X</v>
      </c>
      <c r="G247" s="259" t="s">
        <v>2461</v>
      </c>
      <c r="J247" s="4">
        <v>225</v>
      </c>
      <c r="K247" s="20" t="s">
        <v>2460</v>
      </c>
      <c r="L247" s="4">
        <v>3</v>
      </c>
      <c r="M247" s="21" t="str">
        <f>HYPERLINK("obsidian://open?vault=o2&amp;file=Search%20and%20Replace%20in%20Vim.md","Search and Replace in Vim")</f>
        <v>Search and Replace in Vim</v>
      </c>
      <c r="N247" s="11" t="s">
        <v>175</v>
      </c>
      <c r="O247" s="21" t="str">
        <f>HYPERLINK("obsidian://open?vault=o2&amp;file=Vim%20Cheatsheet.md","Vim Cheatsheet")</f>
        <v>Vim Cheatsheet</v>
      </c>
      <c r="P247" s="11" t="s">
        <v>175</v>
      </c>
      <c r="Q247" s="21" t="str">
        <f>HYPERLINK("obsidian://open?vault=o2&amp;file=cPanel%20Alternatives.md","cPanel Alternatives")</f>
        <v>cPanel Alternatives</v>
      </c>
      <c r="R247" s="11" t="s">
        <v>175</v>
      </c>
      <c r="AF247" s="11">
        <f>SUBTOTAL(3,_xlfn.SINGLE(tbl_tags[RowId]))</f>
        <v>1</v>
      </c>
    </row>
    <row r="248" spans="5:32">
      <c r="E248" t="str">
        <f>IF(G248&lt;&gt;tbl_tags[[#This Row],[Tags]],"X","")</f>
        <v>X</v>
      </c>
      <c r="G248" s="258" t="s">
        <v>2462</v>
      </c>
      <c r="J248" s="4">
        <v>226</v>
      </c>
      <c r="K248" s="20" t="s">
        <v>2461</v>
      </c>
      <c r="L248" s="4">
        <v>1</v>
      </c>
      <c r="M248" s="21" t="str">
        <f>HYPERLINK("obsidian://open?vault=o2&amp;file=Advanced%20regular%20expression%20features%20to%20match%20Markdown%20links.md","Advanced regular expression features to match Markdown links")</f>
        <v>Advanced regular expression features to match Markdown links</v>
      </c>
      <c r="N248" s="11" t="s">
        <v>175</v>
      </c>
      <c r="AF248" s="11">
        <f>SUBTOTAL(3,_xlfn.SINGLE(tbl_tags[RowId]))</f>
        <v>1</v>
      </c>
    </row>
    <row r="249" spans="5:32">
      <c r="E249" t="str">
        <f>IF(G249&lt;&gt;tbl_tags[[#This Row],[Tags]],"X","")</f>
        <v>X</v>
      </c>
      <c r="G249" s="259" t="s">
        <v>2463</v>
      </c>
      <c r="J249" s="4">
        <v>227</v>
      </c>
      <c r="K249" s="20" t="s">
        <v>2462</v>
      </c>
      <c r="L249" s="4">
        <v>1</v>
      </c>
      <c r="M249" s="21" t="str">
        <f>HYPERLINK("obsidian://open?vault=o2&amp;file=Windows%2010%20and%2011%20Wont%20Boot%2C%20How%20To%20Fix%20UEFI%20Partition.md","Windows 10 and 11 Wont Boot, How To Fix UEFI Partition")</f>
        <v>Windows 10 and 11 Wont Boot, How To Fix UEFI Partition</v>
      </c>
      <c r="N249" s="11" t="s">
        <v>175</v>
      </c>
      <c r="AF249" s="11">
        <f>SUBTOTAL(3,_xlfn.SINGLE(tbl_tags[RowId]))</f>
        <v>1</v>
      </c>
    </row>
    <row r="250" spans="5:32">
      <c r="E250" t="str">
        <f>IF(G250&lt;&gt;tbl_tags[[#This Row],[Tags]],"X","")</f>
        <v>X</v>
      </c>
      <c r="G250" s="258" t="s">
        <v>123</v>
      </c>
      <c r="J250" s="4">
        <v>228</v>
      </c>
      <c r="K250" s="20" t="s">
        <v>2463</v>
      </c>
      <c r="L250" s="4">
        <v>1</v>
      </c>
      <c r="M250" s="21" t="str">
        <f>HYPERLINK("obsidian://open?vault=o2&amp;file=personsTemplate.md","personsTemplate")</f>
        <v>personsTemplate</v>
      </c>
      <c r="N250" s="11" t="s">
        <v>175</v>
      </c>
      <c r="AF250" s="11">
        <f>SUBTOTAL(3,_xlfn.SINGLE(tbl_tags[RowId]))</f>
        <v>1</v>
      </c>
    </row>
    <row r="251" spans="5:32">
      <c r="E251" t="str">
        <f>IF(G251&lt;&gt;tbl_tags[[#This Row],[Tags]],"X","")</f>
        <v>X</v>
      </c>
      <c r="G251" s="259" t="s">
        <v>2464</v>
      </c>
      <c r="J251" s="4">
        <v>229</v>
      </c>
      <c r="K251" s="20" t="s">
        <v>123</v>
      </c>
      <c r="L251" s="4">
        <v>26</v>
      </c>
      <c r="M251" s="21" t="str">
        <f>HYPERLINK("obsidian://open?vault=o2&amp;file=Bletchley%20Park%20interviews%20with%20IJ%20Good%20and%20Mickey.md","Bletchley Park interviews with IJ Good and Mickey")</f>
        <v>Bletchley Park interviews with IJ Good and Mickey</v>
      </c>
      <c r="N251" s="11" t="s">
        <v>175</v>
      </c>
      <c r="O251" s="21" t="str">
        <f>HYPERLINK("obsidian://open?vault=o2&amp;file=Hotkey%20ShortList%20by%20Assigned%20Hotkey.md","Hotkey ShortList by Assigned Hotkey")</f>
        <v>Hotkey ShortList by Assigned Hotkey</v>
      </c>
      <c r="P251" s="11" t="s">
        <v>175</v>
      </c>
      <c r="Q251" s="21" t="str">
        <f>HYPERLINK("obsidian://open?vault=o2&amp;file=Hotkey%20ShortList%20by%20Command%20Name.md","Hotkey ShortList by Command Name")</f>
        <v>Hotkey ShortList by Command Name</v>
      </c>
      <c r="R251" s="11" t="s">
        <v>175</v>
      </c>
      <c r="S251" s="21" t="str">
        <f>HYPERLINK("obsidian://open?vault=o2&amp;file=Hotkey%20ShortList%20by%20CommandID.md","Hotkey ShortList by CommandID")</f>
        <v>Hotkey ShortList by CommandID</v>
      </c>
      <c r="T251" s="11" t="s">
        <v>175</v>
      </c>
      <c r="U251" s="21" t="str">
        <f>HYPERLINK("obsidian://open?vault=o2&amp;file=Hotkeys%20by%20Assigned%20Hotkey.md","Hotkeys by Assigned Hotkey")</f>
        <v>Hotkeys by Assigned Hotkey</v>
      </c>
      <c r="V251" s="11" t="s">
        <v>175</v>
      </c>
      <c r="W251" s="21" t="str">
        <f>HYPERLINK("obsidian://open?vault=o2&amp;file=Hotkeys%20by%20Command%20Name.md","Hotkeys by Command Name")</f>
        <v>Hotkeys by Command Name</v>
      </c>
      <c r="X251" s="11" t="s">
        <v>175</v>
      </c>
      <c r="Y251" s="21" t="str">
        <f>HYPERLINK("obsidian://open?vault=o2&amp;file=Hotkeys%20by%20CommandID.md","Hotkeys by CommandID")</f>
        <v>Hotkeys by CommandID</v>
      </c>
      <c r="Z251" s="11" t="s">
        <v>175</v>
      </c>
      <c r="AA251" s="21" t="str">
        <f>HYPERLINK("obsidian://open?vault=o2&amp;file=Hotkeys%20Defined.md","Hotkeys Defined")</f>
        <v>Hotkeys Defined</v>
      </c>
      <c r="AB251" s="11" t="s">
        <v>175</v>
      </c>
      <c r="AC251" s="21" t="str">
        <f>HYPERLINK("obsidian://open?vault=o2&amp;file=Obsidian%20Hotkeys%20for%20Editing.md","Obsidian Hotkeys for Editing")</f>
        <v>Obsidian Hotkeys for Editing</v>
      </c>
      <c r="AD251" s="11" t="s">
        <v>175</v>
      </c>
      <c r="AE251" s="21" t="str">
        <f>HYPERLINK("obsidian://open?vault=o2&amp;file=%E2%9A%92%EF%B8%8F%20My%20Toolbox.md","⚒️ My Toolbox")</f>
        <v>⚒️ My Toolbox</v>
      </c>
      <c r="AF251" s="11">
        <f>SUBTOTAL(3,_xlfn.SINGLE(tbl_tags[RowId]))</f>
        <v>1</v>
      </c>
    </row>
    <row r="252" spans="5:32">
      <c r="E252" t="str">
        <f>IF(G252&lt;&gt;tbl_tags[[#This Row],[Tags]],"X","")</f>
        <v>X</v>
      </c>
      <c r="G252" s="258" t="s">
        <v>2465</v>
      </c>
      <c r="J252" s="4">
        <v>230</v>
      </c>
      <c r="K252" s="20" t="s">
        <v>2464</v>
      </c>
      <c r="L252" s="4">
        <v>5</v>
      </c>
      <c r="M252" s="21" t="str">
        <f>HYPERLINK("obsidian://open?vault=o2&amp;file=A%20copy%20of%20my%20userChrome.css%20as%20of%202023-02-04.md","A copy of my userChrome.css as of 2023-02-04")</f>
        <v>A copy of my userChrome.css as of 2023-02-04</v>
      </c>
      <c r="N252" s="11" t="s">
        <v>175</v>
      </c>
      <c r="O252" s="21" t="str">
        <f>HYPERLINK("obsidian://open?vault=o2&amp;file=Customize%20Callouts%20and%20Icons.md","Customize Callouts and Icons")</f>
        <v>Customize Callouts and Icons</v>
      </c>
      <c r="P252" s="11" t="s">
        <v>175</v>
      </c>
      <c r="Q252" s="21" t="str">
        <f>HYPERLINK("obsidian://open?vault=o2&amp;file=Managing%20appearance%20and%20theme.md","Managing appearance and theme")</f>
        <v>Managing appearance and theme</v>
      </c>
      <c r="R252" s="11" t="s">
        <v>175</v>
      </c>
      <c r="S252" s="21" t="str">
        <f>HYPERLINK("obsidian://open?vault=o2&amp;file=Setup%20Multi%20Row%20Tabs%20in%20Firefox.md","Setup Multi Row Tabs in Firefox")</f>
        <v>Setup Multi Row Tabs in Firefox</v>
      </c>
      <c r="T252" s="11" t="s">
        <v>175</v>
      </c>
      <c r="U252" s="21" t="str">
        <f>HYPERLINK("obsidian://open?vault=o2&amp;file=What%20is%20Thread%20and%20how%20will%20it%20help%20your%20smart%20home.md","What is Thread and how will it help your smart home")</f>
        <v>What is Thread and how will it help your smart home</v>
      </c>
      <c r="V252" s="11" t="s">
        <v>175</v>
      </c>
      <c r="AF252" s="11">
        <f>SUBTOTAL(3,_xlfn.SINGLE(tbl_tags[RowId]))</f>
        <v>1</v>
      </c>
    </row>
    <row r="253" spans="5:32">
      <c r="E253" t="str">
        <f>IF(G253&lt;&gt;tbl_tags[[#This Row],[Tags]],"X","")</f>
        <v>X</v>
      </c>
      <c r="G253" s="259" t="s">
        <v>2466</v>
      </c>
      <c r="J253" s="4">
        <v>231</v>
      </c>
      <c r="K253" s="20" t="s">
        <v>2465</v>
      </c>
      <c r="L253" s="4">
        <v>1</v>
      </c>
      <c r="M253" s="21" t="str">
        <f>HYPERLINK("obsidian://open?vault=o2&amp;file=Setup%20Nginx%20Proxy%20Manager.md","Setup Nginx Proxy Manager")</f>
        <v>Setup Nginx Proxy Manager</v>
      </c>
      <c r="N253" s="11" t="s">
        <v>175</v>
      </c>
      <c r="AF253" s="11">
        <f>SUBTOTAL(3,_xlfn.SINGLE(tbl_tags[RowId]))</f>
        <v>1</v>
      </c>
    </row>
    <row r="254" spans="5:32">
      <c r="E254" t="str">
        <f>IF(G254&lt;&gt;tbl_tags[[#This Row],[Tags]],"X","")</f>
        <v>X</v>
      </c>
      <c r="G254" s="258" t="s">
        <v>2467</v>
      </c>
      <c r="J254" s="4">
        <v>232</v>
      </c>
      <c r="K254" s="20" t="s">
        <v>2466</v>
      </c>
      <c r="L254" s="4">
        <v>1</v>
      </c>
      <c r="M254" s="21" t="str">
        <f>HYPERLINK("obsidian://open?vault=o2&amp;file=50%20Best%20Christmas%20Movies.md","50 Best Christmas Movies")</f>
        <v>50 Best Christmas Movies</v>
      </c>
      <c r="N254" s="11" t="s">
        <v>175</v>
      </c>
      <c r="AF254" s="11">
        <f>SUBTOTAL(3,_xlfn.SINGLE(tbl_tags[RowId]))</f>
        <v>1</v>
      </c>
    </row>
    <row r="255" spans="5:32">
      <c r="E255" t="str">
        <f>IF(G255&lt;&gt;tbl_tags[[#This Row],[Tags]],"X","")</f>
        <v>X</v>
      </c>
      <c r="G255" s="259" t="s">
        <v>2468</v>
      </c>
      <c r="J255" s="4">
        <v>233</v>
      </c>
      <c r="K255" s="20" t="s">
        <v>2467</v>
      </c>
      <c r="L255" s="4">
        <v>1</v>
      </c>
      <c r="M255" s="21" t="str">
        <f>HYPERLINK("obsidian://open?vault=o2&amp;file=2022-M07.md","2022-M07")</f>
        <v>2022-M07</v>
      </c>
      <c r="N255" s="11" t="s">
        <v>175</v>
      </c>
      <c r="AF255" s="11">
        <f>SUBTOTAL(3,_xlfn.SINGLE(tbl_tags[RowId]))</f>
        <v>1</v>
      </c>
    </row>
    <row r="256" spans="5:32">
      <c r="E256" t="str">
        <f>IF(G256&lt;&gt;tbl_tags[[#This Row],[Tags]],"X","")</f>
        <v>X</v>
      </c>
      <c r="G256" s="258" t="s">
        <v>2469</v>
      </c>
      <c r="J256" s="4">
        <v>234</v>
      </c>
      <c r="K256" s="20" t="s">
        <v>2468</v>
      </c>
      <c r="L256" s="4">
        <v>1</v>
      </c>
      <c r="M256" s="21" t="str">
        <f>HYPERLINK("obsidian://open?vault=o2&amp;file=2024-Q4.md","2024-Q4")</f>
        <v>2024-Q4</v>
      </c>
      <c r="N256" s="11" t="s">
        <v>175</v>
      </c>
      <c r="AF256" s="11">
        <f>SUBTOTAL(3,_xlfn.SINGLE(tbl_tags[RowId]))</f>
        <v>1</v>
      </c>
    </row>
    <row r="257" spans="5:32">
      <c r="E257" t="str">
        <f>IF(G257&lt;&gt;tbl_tags[[#This Row],[Tags]],"X","")</f>
        <v>X</v>
      </c>
      <c r="G257" s="259" t="s">
        <v>2470</v>
      </c>
      <c r="J257" s="4">
        <v>235</v>
      </c>
      <c r="K257" s="20" t="s">
        <v>2469</v>
      </c>
      <c r="L257" s="4">
        <v>2</v>
      </c>
      <c r="M257" s="21" t="str">
        <f>HYPERLINK("obsidian://open?vault=o2&amp;file=2024.md","2024")</f>
        <v>2024</v>
      </c>
      <c r="N257" s="11" t="s">
        <v>175</v>
      </c>
      <c r="O257" s="21" t="str">
        <f>HYPERLINK("obsidian://open?vault=o2&amp;file=2025.md","2025")</f>
        <v>2025</v>
      </c>
      <c r="P257" s="11" t="s">
        <v>175</v>
      </c>
      <c r="AF257" s="11">
        <f>SUBTOTAL(3,_xlfn.SINGLE(tbl_tags[RowId]))</f>
        <v>1</v>
      </c>
    </row>
    <row r="258" spans="5:32">
      <c r="E258" t="str">
        <f>IF(G258&lt;&gt;tbl_tags[[#This Row],[Tags]],"X","")</f>
        <v>X</v>
      </c>
      <c r="G258" s="258" t="s">
        <v>2471</v>
      </c>
      <c r="J258" s="4">
        <v>236</v>
      </c>
      <c r="K258" s="20" t="s">
        <v>2470</v>
      </c>
      <c r="L258" s="4">
        <v>1</v>
      </c>
      <c r="M258" s="21" t="str">
        <f>HYPERLINK("obsidian://open?vault=o2&amp;file=Setup%20Servarr.md","Setup Servarr")</f>
        <v>Setup Servarr</v>
      </c>
      <c r="N258" s="11" t="s">
        <v>175</v>
      </c>
      <c r="AF258" s="11">
        <f>SUBTOTAL(3,_xlfn.SINGLE(tbl_tags[RowId]))</f>
        <v>1</v>
      </c>
    </row>
    <row r="259" spans="5:32">
      <c r="E259" t="str">
        <f>IF(G259&lt;&gt;tbl_tags[[#This Row],[Tags]],"X","")</f>
        <v>X</v>
      </c>
      <c r="G259" s="259" t="s">
        <v>2472</v>
      </c>
      <c r="J259" s="4">
        <v>237</v>
      </c>
      <c r="K259" s="20" t="s">
        <v>2471</v>
      </c>
      <c r="L259" s="4">
        <v>2</v>
      </c>
      <c r="M259" s="21" t="str">
        <f>HYPERLINK("obsidian://open?vault=o2&amp;file=Setup%20Servarr.md","Setup Servarr")</f>
        <v>Setup Servarr</v>
      </c>
      <c r="N259" s="11" t="s">
        <v>175</v>
      </c>
      <c r="O259" s="21" t="str">
        <f>HYPERLINK("obsidian://open?vault=o2&amp;file=Setup%20Sabnzbd.md","Setup Sabnzbd")</f>
        <v>Setup Sabnzbd</v>
      </c>
      <c r="P259" s="11" t="s">
        <v>175</v>
      </c>
      <c r="AF259" s="11">
        <f>SUBTOTAL(3,_xlfn.SINGLE(tbl_tags[RowId]))</f>
        <v>1</v>
      </c>
    </row>
    <row r="260" spans="5:32">
      <c r="E260" t="str">
        <f>IF(G260&lt;&gt;tbl_tags[[#This Row],[Tags]],"X","")</f>
        <v>X</v>
      </c>
      <c r="G260" s="258" t="s">
        <v>2473</v>
      </c>
      <c r="J260" s="4">
        <v>238</v>
      </c>
      <c r="K260" s="20" t="s">
        <v>2472</v>
      </c>
      <c r="L260" s="4">
        <v>1</v>
      </c>
      <c r="M260" s="21" t="str">
        <f>HYPERLINK("obsidian://open?vault=o2&amp;file=Google%20Dorks%202025.md","Google Dorks 2025")</f>
        <v>Google Dorks 2025</v>
      </c>
      <c r="N260" s="11" t="s">
        <v>175</v>
      </c>
      <c r="AF260" s="11">
        <f>SUBTOTAL(3,_xlfn.SINGLE(tbl_tags[RowId]))</f>
        <v>1</v>
      </c>
    </row>
    <row r="261" spans="5:32">
      <c r="E261" t="str">
        <f>IF(G261&lt;&gt;tbl_tags[[#This Row],[Tags]],"X","")</f>
        <v>X</v>
      </c>
      <c r="G261" s="259" t="s">
        <v>2474</v>
      </c>
      <c r="J261" s="4">
        <v>239</v>
      </c>
      <c r="K261" s="20" t="s">
        <v>2473</v>
      </c>
      <c r="L261" s="4">
        <v>1</v>
      </c>
      <c r="M261" s="21" t="str">
        <f>HYPERLINK("obsidian://open?vault=o2&amp;file=cPanel%20Alternatives.md","cPanel Alternatives")</f>
        <v>cPanel Alternatives</v>
      </c>
      <c r="N261" s="11" t="s">
        <v>175</v>
      </c>
      <c r="AF261" s="11">
        <f>SUBTOTAL(3,_xlfn.SINGLE(tbl_tags[RowId]))</f>
        <v>1</v>
      </c>
    </row>
    <row r="262" spans="5:32">
      <c r="E262" t="str">
        <f>IF(G262&lt;&gt;tbl_tags[[#This Row],[Tags]],"X","")</f>
        <v>X</v>
      </c>
      <c r="G262" s="258" t="s">
        <v>2475</v>
      </c>
      <c r="J262" s="4">
        <v>240</v>
      </c>
      <c r="K262" s="20" t="s">
        <v>2474</v>
      </c>
      <c r="L262" s="4">
        <v>1</v>
      </c>
      <c r="M262" s="21" t="str">
        <f>HYPERLINK("obsidian://open?vault=o2&amp;file=Templater%20Cheat%20Sheet.md","Templater Cheat Sheet")</f>
        <v>Templater Cheat Sheet</v>
      </c>
      <c r="N262" s="11" t="s">
        <v>175</v>
      </c>
      <c r="AF262" s="11">
        <f>SUBTOTAL(3,_xlfn.SINGLE(tbl_tags[RowId]))</f>
        <v>1</v>
      </c>
    </row>
    <row r="263" spans="5:32">
      <c r="E263" t="str">
        <f>IF(G263&lt;&gt;tbl_tags[[#This Row],[Tags]],"X","")</f>
        <v>X</v>
      </c>
      <c r="G263" s="259" t="s">
        <v>2476</v>
      </c>
      <c r="J263" s="4">
        <v>241</v>
      </c>
      <c r="K263" s="20" t="s">
        <v>2475</v>
      </c>
      <c r="L263" s="4">
        <v>2</v>
      </c>
      <c r="M263" s="21" t="str">
        <f>HYPERLINK("obsidian://open?vault=o2&amp;file=Roboform%20License.md","Roboform License")</f>
        <v>Roboform License</v>
      </c>
      <c r="N263" s="11" t="s">
        <v>175</v>
      </c>
      <c r="O263" s="21" t="str">
        <f>HYPERLINK("obsidian://open?vault=o2&amp;file=Secure%20Remote%20Access.md","Secure Remote Access")</f>
        <v>Secure Remote Access</v>
      </c>
      <c r="P263" s="11" t="s">
        <v>175</v>
      </c>
      <c r="AF263" s="11">
        <f>SUBTOTAL(3,_xlfn.SINGLE(tbl_tags[RowId]))</f>
        <v>1</v>
      </c>
    </row>
    <row r="264" spans="5:32">
      <c r="E264" t="str">
        <f>IF(G264&lt;&gt;tbl_tags[[#This Row],[Tags]],"X","")</f>
        <v>X</v>
      </c>
      <c r="G264" s="258" t="s">
        <v>2477</v>
      </c>
      <c r="J264" s="4">
        <v>242</v>
      </c>
      <c r="K264" s="20" t="s">
        <v>2476</v>
      </c>
      <c r="L264" s="4">
        <v>1</v>
      </c>
      <c r="M264" s="21" t="str">
        <f>HYPERLINK("obsidian://open?vault=o2&amp;file=Best%20qBittorrents%20Settings%20%28Plus%20Port%20Forwarder%29.md","Best qBittorrents Settings (Plus Port Forwarder)")</f>
        <v>Best qBittorrents Settings (Plus Port Forwarder)</v>
      </c>
      <c r="N264" s="11" t="s">
        <v>175</v>
      </c>
      <c r="AF264" s="11">
        <f>SUBTOTAL(3,_xlfn.SINGLE(tbl_tags[RowId]))</f>
        <v>1</v>
      </c>
    </row>
    <row r="265" spans="5:32">
      <c r="E265" t="str">
        <f>IF(G265&lt;&gt;tbl_tags[[#This Row],[Tags]],"X","")</f>
        <v>X</v>
      </c>
      <c r="G265" s="259" t="s">
        <v>2478</v>
      </c>
      <c r="J265" s="4">
        <v>243</v>
      </c>
      <c r="K265" s="20" t="s">
        <v>2477</v>
      </c>
      <c r="L265" s="4">
        <v>2</v>
      </c>
      <c r="M265" s="21" t="str">
        <f>HYPERLINK("obsidian://open?vault=o2&amp;file=Search%20and%20Replace%20in%20Vim.md","Search and Replace in Vim")</f>
        <v>Search and Replace in Vim</v>
      </c>
      <c r="N265" s="11" t="s">
        <v>175</v>
      </c>
      <c r="O265" s="21" t="str">
        <f>HYPERLINK("obsidian://open?vault=o2&amp;file=Terminal%20Color%20Escape%20Sequences.md","Terminal Color Escape Sequences")</f>
        <v>Terminal Color Escape Sequences</v>
      </c>
      <c r="P265" s="11" t="s">
        <v>175</v>
      </c>
      <c r="AF265" s="11">
        <f>SUBTOTAL(3,_xlfn.SINGLE(tbl_tags[RowId]))</f>
        <v>1</v>
      </c>
    </row>
    <row r="266" spans="5:32">
      <c r="E266" t="str">
        <f>IF(G266&lt;&gt;tbl_tags[[#This Row],[Tags]],"X","")</f>
        <v>X</v>
      </c>
      <c r="G266" s="258" t="s">
        <v>2479</v>
      </c>
      <c r="J266" s="4">
        <v>244</v>
      </c>
      <c r="K266" s="20" t="s">
        <v>2478</v>
      </c>
      <c r="L266" s="4">
        <v>1</v>
      </c>
      <c r="M266" s="21" t="str">
        <f>HYPERLINK("obsidian://open?vault=o2&amp;file=personsTemplate.md","personsTemplate")</f>
        <v>personsTemplate</v>
      </c>
      <c r="N266" s="11" t="s">
        <v>175</v>
      </c>
      <c r="AF266" s="11">
        <f>SUBTOTAL(3,_xlfn.SINGLE(tbl_tags[RowId]))</f>
        <v>1</v>
      </c>
    </row>
    <row r="267" spans="5:32">
      <c r="E267" t="str">
        <f>IF(G267&lt;&gt;tbl_tags[[#This Row],[Tags]],"X","")</f>
        <v>X</v>
      </c>
      <c r="G267" s="259" t="s">
        <v>2480</v>
      </c>
      <c r="J267" s="4">
        <v>245</v>
      </c>
      <c r="K267" s="20" t="s">
        <v>2479</v>
      </c>
      <c r="L267" s="4">
        <v>6</v>
      </c>
      <c r="M267" s="21" t="str">
        <f>HYPERLINK("obsidian://open?vault=o2&amp;file=Setup%20Radarr.md","Setup Radarr")</f>
        <v>Setup Radarr</v>
      </c>
      <c r="N267" s="11" t="s">
        <v>175</v>
      </c>
      <c r="O267" s="21" t="str">
        <f>HYPERLINK("obsidian://open?vault=o2&amp;file=Setup%20Servarr.md","Setup Servarr")</f>
        <v>Setup Servarr</v>
      </c>
      <c r="P267" s="11" t="s">
        <v>175</v>
      </c>
      <c r="Q267" s="21" t="str">
        <f>HYPERLINK("obsidian://open?vault=o2&amp;file=Setup%20Sabnzbd.md","Setup Sabnzbd")</f>
        <v>Setup Sabnzbd</v>
      </c>
      <c r="R267" s="11" t="s">
        <v>175</v>
      </c>
      <c r="S267" s="21" t="str">
        <f>HYPERLINK("obsidian://open?vault=o2&amp;file=%E2%9A%A1%20CasaOS%20Project.md","⚡ CasaOS Project")</f>
        <v>⚡ CasaOS Project</v>
      </c>
      <c r="T267" s="11" t="s">
        <v>175</v>
      </c>
      <c r="U267" s="21" t="str">
        <f>HYPERLINK("obsidian://open?vault=o2&amp;file=%E2%9A%A1%20Media%20Project.md","⚡ Media Project")</f>
        <v>⚡ Media Project</v>
      </c>
      <c r="V267" s="11" t="s">
        <v>175</v>
      </c>
      <c r="W267" s="21" t="str">
        <f>HYPERLINK("obsidian://open?vault=o2&amp;file=%E2%9A%A1%20Setup%20Linode%20Server%20Project.md","⚡ Setup Linode Server Project")</f>
        <v>⚡ Setup Linode Server Project</v>
      </c>
      <c r="X267" s="11" t="s">
        <v>175</v>
      </c>
      <c r="AF267" s="11">
        <f>SUBTOTAL(3,_xlfn.SINGLE(tbl_tags[RowId]))</f>
        <v>1</v>
      </c>
    </row>
    <row r="268" spans="5:32">
      <c r="E268" t="str">
        <f>IF(G268&lt;&gt;tbl_tags[[#This Row],[Tags]],"X","")</f>
        <v>X</v>
      </c>
      <c r="G268" s="258" t="s">
        <v>2481</v>
      </c>
      <c r="J268" s="4">
        <v>246</v>
      </c>
      <c r="K268" s="20" t="s">
        <v>2480</v>
      </c>
      <c r="L268" s="4">
        <v>1</v>
      </c>
      <c r="M268" s="21" t="str">
        <f>HYPERLINK("obsidian://open?vault=o2&amp;file=Setup%20Servarr.md","Setup Servarr")</f>
        <v>Setup Servarr</v>
      </c>
      <c r="N268" s="11" t="s">
        <v>175</v>
      </c>
      <c r="AF268" s="11">
        <f>SUBTOTAL(3,_xlfn.SINGLE(tbl_tags[RowId]))</f>
        <v>1</v>
      </c>
    </row>
    <row r="269" spans="5:32">
      <c r="E269" t="str">
        <f>IF(G269&lt;&gt;tbl_tags[[#This Row],[Tags]],"X","")</f>
        <v>X</v>
      </c>
      <c r="G269" s="259" t="s">
        <v>717</v>
      </c>
      <c r="J269" s="4">
        <v>247</v>
      </c>
      <c r="K269" s="20" t="s">
        <v>2481</v>
      </c>
      <c r="L269" s="4">
        <v>1</v>
      </c>
      <c r="M269" s="21" t="str">
        <f>HYPERLINK("obsidian://open?vault=o2&amp;file=cPanel%20Alternatives.md","cPanel Alternatives")</f>
        <v>cPanel Alternatives</v>
      </c>
      <c r="N269" s="11" t="s">
        <v>175</v>
      </c>
      <c r="AF269" s="11">
        <f>SUBTOTAL(3,_xlfn.SINGLE(tbl_tags[RowId]))</f>
        <v>1</v>
      </c>
    </row>
    <row r="270" spans="5:32">
      <c r="E270" t="str">
        <f>IF(G270&lt;&gt;tbl_tags[[#This Row],[Tags]],"X","")</f>
        <v>X</v>
      </c>
      <c r="G270" s="258" t="s">
        <v>2482</v>
      </c>
      <c r="J270" s="4">
        <v>248</v>
      </c>
      <c r="K270" s="20" t="s">
        <v>717</v>
      </c>
      <c r="L270" s="4">
        <v>1</v>
      </c>
      <c r="M270" s="21" t="str">
        <f>HYPERLINK("obsidian://open?vault=o2&amp;file=How%20to%20open%20an%20ssh%20powershell%20into%20CASAOS.md","How to open an ssh powershell into CASAOS")</f>
        <v>How to open an ssh powershell into CASAOS</v>
      </c>
      <c r="N270" s="11" t="s">
        <v>175</v>
      </c>
      <c r="AF270" s="11">
        <f>SUBTOTAL(3,_xlfn.SINGLE(tbl_tags[RowId]))</f>
        <v>1</v>
      </c>
    </row>
    <row r="271" spans="5:32">
      <c r="E271" t="str">
        <f>IF(G271&lt;&gt;tbl_tags[[#This Row],[Tags]],"X","")</f>
        <v>X</v>
      </c>
      <c r="G271" s="259" t="s">
        <v>2483</v>
      </c>
      <c r="J271" s="4">
        <v>249</v>
      </c>
      <c r="K271" s="20" t="s">
        <v>2482</v>
      </c>
      <c r="L271" s="4">
        <v>1</v>
      </c>
      <c r="M271" s="21" t="str">
        <f>HYPERLINK("obsidian://open?vault=o2&amp;file=Vim%20Cheatsheet.md","Vim Cheatsheet")</f>
        <v>Vim Cheatsheet</v>
      </c>
      <c r="N271" s="11" t="s">
        <v>175</v>
      </c>
      <c r="AF271" s="11">
        <f>SUBTOTAL(3,_xlfn.SINGLE(tbl_tags[RowId]))</f>
        <v>1</v>
      </c>
    </row>
    <row r="272" spans="5:32">
      <c r="E272" t="str">
        <f>IF(G272&lt;&gt;tbl_tags[[#This Row],[Tags]],"X","")</f>
        <v>X</v>
      </c>
      <c r="G272" s="258" t="s">
        <v>2484</v>
      </c>
      <c r="J272" s="4">
        <v>250</v>
      </c>
      <c r="K272" s="20" t="s">
        <v>2483</v>
      </c>
      <c r="L272" s="4">
        <v>2</v>
      </c>
      <c r="M272" s="21" t="str">
        <f>HYPERLINK("obsidian://open?vault=o2&amp;file=27%20Useful%20CSS%20Plugins%20for%20Obsidian.md","27 Useful CSS Plugins for Obsidian")</f>
        <v>27 Useful CSS Plugins for Obsidian</v>
      </c>
      <c r="N272" s="11" t="s">
        <v>175</v>
      </c>
      <c r="O272" s="21" t="str">
        <f>HYPERLINK("obsidian://open?vault=o2&amp;file=Dataview%20Toolkit%20by%20Paul%20Dickson%20SubVault.md","Dataview Toolkit by Paul Dickson SubVault")</f>
        <v>Dataview Toolkit by Paul Dickson SubVault</v>
      </c>
      <c r="P272" s="11" t="s">
        <v>175</v>
      </c>
      <c r="AF272" s="11">
        <f>SUBTOTAL(3,_xlfn.SINGLE(tbl_tags[RowId]))</f>
        <v>1</v>
      </c>
    </row>
    <row r="273" spans="5:32">
      <c r="E273" t="str">
        <f>IF(G273&lt;&gt;tbl_tags[[#This Row],[Tags]],"X","")</f>
        <v>X</v>
      </c>
      <c r="G273" s="259" t="s">
        <v>1336</v>
      </c>
      <c r="J273" s="4">
        <v>251</v>
      </c>
      <c r="K273" s="20" t="s">
        <v>2484</v>
      </c>
      <c r="L273" s="4">
        <v>4</v>
      </c>
      <c r="M273" s="21" t="str">
        <f>HYPERLINK("obsidian://open?vault=o2&amp;file=Roboform%20License.md","Roboform License")</f>
        <v>Roboform License</v>
      </c>
      <c r="N273" s="11" t="s">
        <v>175</v>
      </c>
      <c r="O273" s="21" t="str">
        <f>HYPERLINK("obsidian://open?vault=o2&amp;file=Setup%20Servarr.md","Setup Servarr")</f>
        <v>Setup Servarr</v>
      </c>
      <c r="P273" s="11" t="s">
        <v>175</v>
      </c>
      <c r="Q273" s="21" t="str">
        <f>HYPERLINK("obsidian://open?vault=o2&amp;file=PC%20Re-Build%20Step%20Sequence%20Script.md","PC Re-Build Step Sequence Script")</f>
        <v>PC Re-Build Step Sequence Script</v>
      </c>
      <c r="R273" s="11" t="s">
        <v>175</v>
      </c>
      <c r="S273" s="21" t="str">
        <f>HYPERLINK("obsidian://open?vault=o2&amp;file=BIOS%20Setup%20Notes.md","BIOS Setup Notes")</f>
        <v>BIOS Setup Notes</v>
      </c>
      <c r="T273" s="11" t="s">
        <v>175</v>
      </c>
      <c r="AF273" s="11">
        <f>SUBTOTAL(3,_xlfn.SINGLE(tbl_tags[RowId]))</f>
        <v>1</v>
      </c>
    </row>
    <row r="274" spans="5:32">
      <c r="E274" t="str">
        <f>IF(G274&lt;&gt;tbl_tags[[#This Row],[Tags]],"X","")</f>
        <v>X</v>
      </c>
      <c r="G274" s="258" t="s">
        <v>2485</v>
      </c>
      <c r="J274" s="4">
        <v>252</v>
      </c>
      <c r="K274" s="20" t="s">
        <v>1336</v>
      </c>
      <c r="L274" s="4">
        <v>2</v>
      </c>
      <c r="M274" s="21" t="str">
        <f>HYPERLINK("obsidian://open?vault=o2&amp;file=Setup%20Servarr.md","Setup Servarr")</f>
        <v>Setup Servarr</v>
      </c>
      <c r="N274" s="11" t="s">
        <v>175</v>
      </c>
      <c r="O274" s="21" t="str">
        <f>HYPERLINK("obsidian://open?vault=o2&amp;file=Setup%20Sabnzbd.md","Setup Sabnzbd")</f>
        <v>Setup Sabnzbd</v>
      </c>
      <c r="P274" s="11" t="s">
        <v>175</v>
      </c>
      <c r="AF274" s="11">
        <f>SUBTOTAL(3,_xlfn.SINGLE(tbl_tags[RowId]))</f>
        <v>1</v>
      </c>
    </row>
    <row r="275" spans="5:32">
      <c r="E275" t="str">
        <f>IF(G275&lt;&gt;tbl_tags[[#This Row],[Tags]],"X","")</f>
        <v>X</v>
      </c>
      <c r="G275" s="259" t="s">
        <v>2486</v>
      </c>
      <c r="J275" s="4">
        <v>253</v>
      </c>
      <c r="K275" s="20" t="s">
        <v>2485</v>
      </c>
      <c r="L275" s="4">
        <v>1</v>
      </c>
      <c r="M275" s="21" t="str">
        <f>HYPERLINK("obsidian://open?vault=o2&amp;file=YTV%20Template.md","YTV Template")</f>
        <v>YTV Template</v>
      </c>
      <c r="N275" s="11" t="s">
        <v>175</v>
      </c>
      <c r="AF275" s="11">
        <f>SUBTOTAL(3,_xlfn.SINGLE(tbl_tags[RowId]))</f>
        <v>1</v>
      </c>
    </row>
    <row r="276" spans="5:32">
      <c r="E276" t="str">
        <f>IF(G276&lt;&gt;tbl_tags[[#This Row],[Tags]],"X","")</f>
        <v>X</v>
      </c>
      <c r="G276" s="258" t="s">
        <v>2487</v>
      </c>
      <c r="J276" s="4">
        <v>254</v>
      </c>
      <c r="K276" s="20" t="s">
        <v>2486</v>
      </c>
      <c r="L276" s="4">
        <v>1</v>
      </c>
      <c r="M276" s="21" t="str">
        <f>HYPERLINK("obsidian://open?vault=o2&amp;file=Setup%20DuckDNS%20and%20ACME%20DNS-01.md","Setup DuckDNS and ACME DNS-01")</f>
        <v>Setup DuckDNS and ACME DNS-01</v>
      </c>
      <c r="N276" s="11" t="s">
        <v>175</v>
      </c>
      <c r="AF276" s="11">
        <f>SUBTOTAL(3,_xlfn.SINGLE(tbl_tags[RowId]))</f>
        <v>1</v>
      </c>
    </row>
    <row r="277" spans="5:32">
      <c r="E277" t="str">
        <f>IF(G277&lt;&gt;tbl_tags[[#This Row],[Tags]],"X","")</f>
        <v>X</v>
      </c>
      <c r="G277" s="259" t="s">
        <v>2488</v>
      </c>
      <c r="J277" s="4">
        <v>255</v>
      </c>
      <c r="K277" s="20" t="s">
        <v>2487</v>
      </c>
      <c r="L277" s="4">
        <v>1</v>
      </c>
      <c r="M277" s="21" t="str">
        <f>HYPERLINK("obsidian://open?vault=o2&amp;file=personsTemplate.md","personsTemplate")</f>
        <v>personsTemplate</v>
      </c>
      <c r="N277" s="11" t="s">
        <v>175</v>
      </c>
      <c r="AF277" s="11">
        <f>SUBTOTAL(3,_xlfn.SINGLE(tbl_tags[RowId]))</f>
        <v>1</v>
      </c>
    </row>
    <row r="278" spans="5:32">
      <c r="E278" t="str">
        <f>IF(G278&lt;&gt;tbl_tags[[#This Row],[Tags]],"X","")</f>
        <v>X</v>
      </c>
      <c r="G278" s="258" t="s">
        <v>2489</v>
      </c>
      <c r="J278" s="4">
        <v>256</v>
      </c>
      <c r="K278" s="20" t="s">
        <v>2488</v>
      </c>
      <c r="L278" s="4">
        <v>1</v>
      </c>
      <c r="M278" s="21" t="str">
        <f>HYPERLINK("obsidian://open?vault=o2&amp;file=Templater%20Cheat%20Sheet.md","Templater Cheat Sheet")</f>
        <v>Templater Cheat Sheet</v>
      </c>
      <c r="N278" s="11" t="s">
        <v>175</v>
      </c>
      <c r="AF278" s="11">
        <f>SUBTOTAL(3,_xlfn.SINGLE(tbl_tags[RowId]))</f>
        <v>1</v>
      </c>
    </row>
    <row r="279" spans="5:32">
      <c r="E279" t="str">
        <f>IF(G279&lt;&gt;tbl_tags[[#This Row],[Tags]],"X","")</f>
        <v>X</v>
      </c>
      <c r="G279" s="259" t="s">
        <v>2490</v>
      </c>
      <c r="J279" s="4">
        <v>257</v>
      </c>
      <c r="K279" s="20" t="s">
        <v>2489</v>
      </c>
      <c r="L279" s="4">
        <v>2</v>
      </c>
      <c r="M279" s="21" t="str">
        <f>HYPERLINK("obsidian://open?vault=o2&amp;file=DATAVIEW%20Obsidian%20Plugin-%20Checklist.md","DATAVIEW Obsidian Plugin- Checklist")</f>
        <v>DATAVIEW Obsidian Plugin- Checklist</v>
      </c>
      <c r="N279" s="11" t="s">
        <v>175</v>
      </c>
      <c r="O279"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P279" s="11" t="s">
        <v>175</v>
      </c>
      <c r="AF279" s="11">
        <f>SUBTOTAL(3,_xlfn.SINGLE(tbl_tags[RowId]))</f>
        <v>1</v>
      </c>
    </row>
    <row r="280" spans="5:32">
      <c r="E280" t="str">
        <f>IF(G280&lt;&gt;tbl_tags[[#This Row],[Tags]],"X","")</f>
        <v>X</v>
      </c>
      <c r="G280" s="258" t="s">
        <v>2491</v>
      </c>
      <c r="J280" s="4">
        <v>258</v>
      </c>
      <c r="K280" s="20" t="s">
        <v>2490</v>
      </c>
      <c r="L280" s="4">
        <v>1</v>
      </c>
      <c r="M280" s="21" t="str">
        <f>HYPERLINK("obsidian://open?vault=o2&amp;file=10th%20Step%20Homework.md","10th Step Homework")</f>
        <v>10th Step Homework</v>
      </c>
      <c r="N280" s="11" t="s">
        <v>175</v>
      </c>
      <c r="AF280" s="11">
        <f>SUBTOTAL(3,_xlfn.SINGLE(tbl_tags[RowId]))</f>
        <v>1</v>
      </c>
    </row>
    <row r="281" spans="5:32">
      <c r="E281" t="str">
        <f>IF(G281&lt;&gt;tbl_tags[[#This Row],[Tags]],"X","")</f>
        <v>X</v>
      </c>
      <c r="G281" s="259" t="s">
        <v>1244</v>
      </c>
      <c r="J281" s="4">
        <v>259</v>
      </c>
      <c r="K281" s="20" t="s">
        <v>2491</v>
      </c>
      <c r="L281" s="4">
        <v>1</v>
      </c>
      <c r="M281" s="21" t="str">
        <f>HYPERLINK("obsidian://open?vault=o2&amp;file=2023-08-13.md","2023-08-13")</f>
        <v>2023-08-13</v>
      </c>
      <c r="N281" s="11" t="s">
        <v>175</v>
      </c>
      <c r="AF281" s="11">
        <f>SUBTOTAL(3,_xlfn.SINGLE(tbl_tags[RowId]))</f>
        <v>1</v>
      </c>
    </row>
    <row r="282" spans="5:32">
      <c r="E282" t="str">
        <f>IF(G282&lt;&gt;tbl_tags[[#This Row],[Tags]],"X","")</f>
        <v>X</v>
      </c>
      <c r="G282" s="258" t="s">
        <v>2492</v>
      </c>
      <c r="J282" s="4">
        <v>260</v>
      </c>
      <c r="K282" s="20" t="s">
        <v>1244</v>
      </c>
      <c r="L282" s="4">
        <v>1</v>
      </c>
      <c r="M282" s="21" t="str">
        <f>HYPERLINK("obsidian://open?vault=o2&amp;file=The%20ad%20haters%20guide%20to%20cord-cutting%20-%20TechHive.md","The ad haters guide to cord-cutting - TechHive")</f>
        <v>The ad haters guide to cord-cutting - TechHive</v>
      </c>
      <c r="N282" s="11" t="s">
        <v>175</v>
      </c>
      <c r="AF282" s="11">
        <f>SUBTOTAL(3,_xlfn.SINGLE(tbl_tags[RowId]))</f>
        <v>1</v>
      </c>
    </row>
    <row r="283" spans="5:32">
      <c r="E283" t="str">
        <f>IF(G283&lt;&gt;tbl_tags[[#This Row],[Tags]],"X","")</f>
        <v>X</v>
      </c>
      <c r="G283" s="259" t="s">
        <v>2493</v>
      </c>
      <c r="J283" s="4">
        <v>261</v>
      </c>
      <c r="K283" s="20" t="s">
        <v>2492</v>
      </c>
      <c r="L283" s="4">
        <v>1</v>
      </c>
      <c r="M283" s="21" t="str">
        <f>HYPERLINK("obsidian://open?vault=o2&amp;file=2025-01-27.md","2025-01-27")</f>
        <v>2025-01-27</v>
      </c>
      <c r="N283" s="11" t="s">
        <v>175</v>
      </c>
      <c r="AF283" s="11">
        <f>SUBTOTAL(3,_xlfn.SINGLE(tbl_tags[RowId]))</f>
        <v>1</v>
      </c>
    </row>
    <row r="284" spans="5:32">
      <c r="E284" t="str">
        <f>IF(G284&lt;&gt;tbl_tags[[#This Row],[Tags]],"X","")</f>
        <v>X</v>
      </c>
      <c r="G284" s="258" t="s">
        <v>2494</v>
      </c>
      <c r="J284" s="4">
        <v>262</v>
      </c>
      <c r="K284" s="20" t="s">
        <v>2493</v>
      </c>
      <c r="L284" s="4">
        <v>1</v>
      </c>
      <c r="M284" s="21" t="str">
        <f>HYPERLINK("obsidian://open?vault=o2&amp;file=Python%20Style%20Guide.md","Python Style Guide")</f>
        <v>Python Style Guide</v>
      </c>
      <c r="N284" s="11" t="s">
        <v>175</v>
      </c>
      <c r="AF284" s="11">
        <f>SUBTOTAL(3,_xlfn.SINGLE(tbl_tags[RowId]))</f>
        <v>1</v>
      </c>
    </row>
    <row r="285" spans="5:32">
      <c r="E285" t="str">
        <f>IF(G285&lt;&gt;tbl_tags[[#This Row],[Tags]],"X","")</f>
        <v>X</v>
      </c>
      <c r="G285" s="259" t="s">
        <v>2495</v>
      </c>
      <c r="J285" s="4">
        <v>263</v>
      </c>
      <c r="K285" s="20" t="s">
        <v>2494</v>
      </c>
      <c r="L285" s="4">
        <v>9</v>
      </c>
      <c r="M285" s="21" t="str">
        <f>HYPERLINK("obsidian://open?vault=o2&amp;file=John%27s%20Second%20Brain%20Subvault.md","John's Second Brain Subvault")</f>
        <v>John's Second Brain Subvault</v>
      </c>
      <c r="N285" s="11" t="s">
        <v>175</v>
      </c>
      <c r="O285" s="21" t="str">
        <f>HYPERLINK("obsidian://open?vault=o2&amp;file=testing%20gevents%20offset.md","testing gevents offset")</f>
        <v>testing gevents offset</v>
      </c>
      <c r="P285" s="11" t="s">
        <v>175</v>
      </c>
      <c r="Q285" s="21" t="str">
        <f>HYPERLINK("obsidian://open?vault=o2&amp;file=Wikipedia%20Portal%20Literature.md","Wikipedia Portal Literature")</f>
        <v>Wikipedia Portal Literature</v>
      </c>
      <c r="R285" s="11" t="s">
        <v>175</v>
      </c>
      <c r="S285" s="21" t="str">
        <f>HYPERLINK("obsidian://open?vault=o2&amp;file=%F0%9F%93%A5%20Konik%20Method%20for%20Making%20Useful%20Notes.md","📥 Konik Method for Making Useful Notes")</f>
        <v>📥 Konik Method for Making Useful Notes</v>
      </c>
      <c r="T285" s="11" t="s">
        <v>175</v>
      </c>
      <c r="U285" s="21" t="str">
        <f>HYPERLINK("obsidian://open?vault=o2&amp;file=Dataview%20Toolkit%20by%20Paul%20Dickson%20SubVault.md","Dataview Toolkit by Paul Dickson SubVault")</f>
        <v>Dataview Toolkit by Paul Dickson SubVault</v>
      </c>
      <c r="V285" s="11" t="s">
        <v>175</v>
      </c>
      <c r="W285"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X285" s="11" t="s">
        <v>175</v>
      </c>
      <c r="Y285" s="21" t="str">
        <f>HYPERLINK("obsidian://open?vault=o2&amp;file=Python%20Style%20Guide.md","Python Style Guide")</f>
        <v>Python Style Guide</v>
      </c>
      <c r="Z285" s="11" t="s">
        <v>175</v>
      </c>
      <c r="AA285" s="21" t="str">
        <f>HYPERLINK("obsidian://open?vault=o2&amp;file=Terminal%20Color%20Escape%20Sequences.md","Terminal Color Escape Sequences")</f>
        <v>Terminal Color Escape Sequences</v>
      </c>
      <c r="AB285" s="11" t="s">
        <v>175</v>
      </c>
      <c r="AC285" s="21" t="str">
        <f>HYPERLINK("obsidian://open?vault=o2&amp;file=Terminal%20Color%20Escape%20Sequences.md","Terminal Color Escape Sequences")</f>
        <v>Terminal Color Escape Sequences</v>
      </c>
      <c r="AD285" s="11" t="s">
        <v>175</v>
      </c>
      <c r="AF285" s="11">
        <f>SUBTOTAL(3,_xlfn.SINGLE(tbl_tags[RowId]))</f>
        <v>1</v>
      </c>
    </row>
    <row r="286" spans="5:32">
      <c r="E286" t="str">
        <f>IF(G286&lt;&gt;tbl_tags[[#This Row],[Tags]],"X","")</f>
        <v>X</v>
      </c>
      <c r="G286" s="258" t="s">
        <v>2496</v>
      </c>
      <c r="J286" s="4">
        <v>264</v>
      </c>
      <c r="K286" s="20" t="s">
        <v>2495</v>
      </c>
      <c r="L286" s="4">
        <v>1</v>
      </c>
      <c r="M286"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286" s="11" t="s">
        <v>175</v>
      </c>
      <c r="AF286" s="11">
        <f>SUBTOTAL(3,_xlfn.SINGLE(tbl_tags[RowId]))</f>
        <v>1</v>
      </c>
    </row>
    <row r="287" spans="5:32">
      <c r="E287" t="str">
        <f>IF(G287&lt;&gt;tbl_tags[[#This Row],[Tags]],"X","")</f>
        <v>X</v>
      </c>
      <c r="G287" s="259" t="s">
        <v>2497</v>
      </c>
      <c r="J287" s="4">
        <v>265</v>
      </c>
      <c r="K287" s="20" t="s">
        <v>2496</v>
      </c>
      <c r="L287" s="4">
        <v>2</v>
      </c>
      <c r="M287" s="21" t="str">
        <f>HYPERLINK("obsidian://open?vault=o2&amp;file=Magazines%20Ordered%20Jan-2023.md","Magazines Ordered Jan-2023")</f>
        <v>Magazines Ordered Jan-2023</v>
      </c>
      <c r="N287" s="11" t="s">
        <v>175</v>
      </c>
      <c r="O287" s="21" t="str">
        <f>HYPERLINK("obsidian://open?vault=o2&amp;file=Watercolor%20Artist.md","Watercolor Artist")</f>
        <v>Watercolor Artist</v>
      </c>
      <c r="P287" s="11" t="s">
        <v>175</v>
      </c>
      <c r="AF287" s="11">
        <f>SUBTOTAL(3,_xlfn.SINGLE(tbl_tags[RowId]))</f>
        <v>1</v>
      </c>
    </row>
    <row r="288" spans="5:32">
      <c r="E288" t="str">
        <f>IF(G288&lt;&gt;tbl_tags[[#This Row],[Tags]],"X","")</f>
        <v>X</v>
      </c>
      <c r="G288" s="258" t="s">
        <v>130</v>
      </c>
      <c r="J288" s="4">
        <v>266</v>
      </c>
      <c r="K288" s="20" t="s">
        <v>2497</v>
      </c>
      <c r="L288" s="4">
        <v>1</v>
      </c>
      <c r="M288" s="21" t="str">
        <f>HYPERLINK("obsidian://open?vault=o2&amp;file=Planet%20Fitness%20Membership.md","Planet Fitness Membership")</f>
        <v>Planet Fitness Membership</v>
      </c>
      <c r="N288" s="11" t="s">
        <v>175</v>
      </c>
      <c r="AF288" s="11">
        <f>SUBTOTAL(3,_xlfn.SINGLE(tbl_tags[RowId]))</f>
        <v>1</v>
      </c>
    </row>
    <row r="289" spans="5:32">
      <c r="E289" t="str">
        <f>IF(G289&lt;&gt;tbl_tags[[#This Row],[Tags]],"X","")</f>
        <v>X</v>
      </c>
      <c r="G289" s="259" t="s">
        <v>2498</v>
      </c>
      <c r="J289" s="4">
        <v>267</v>
      </c>
      <c r="K289" s="20" t="s">
        <v>130</v>
      </c>
      <c r="L289" s="4">
        <v>2</v>
      </c>
      <c r="M289" s="21" t="str">
        <f>HYPERLINK("obsidian://open?vault=o2&amp;file=Vim%20Cheatsheet.md","Vim Cheatsheet")</f>
        <v>Vim Cheatsheet</v>
      </c>
      <c r="N289" s="11" t="s">
        <v>175</v>
      </c>
      <c r="O289" s="21" t="str">
        <f>HYPERLINK("obsidian://open?vault=o2&amp;file=Hover%20Icons%20for%20Headers%20Addon.md","Hover Icons for Headers Addon")</f>
        <v>Hover Icons for Headers Addon</v>
      </c>
      <c r="P289" s="11" t="s">
        <v>175</v>
      </c>
      <c r="AF289" s="11">
        <f>SUBTOTAL(3,_xlfn.SINGLE(tbl_tags[RowId]))</f>
        <v>1</v>
      </c>
    </row>
    <row r="290" spans="5:32">
      <c r="E290" t="str">
        <f>IF(G290&lt;&gt;tbl_tags[[#This Row],[Tags]],"X","")</f>
        <v>X</v>
      </c>
      <c r="G290" s="258" t="s">
        <v>2499</v>
      </c>
      <c r="J290" s="4">
        <v>268</v>
      </c>
      <c r="K290" s="20" t="s">
        <v>2498</v>
      </c>
      <c r="L290" s="4">
        <v>1</v>
      </c>
      <c r="M290" s="21" t="str">
        <f>HYPERLINK("obsidian://open?vault=o2&amp;file=Sobriety%20Date.md","Sobriety Date")</f>
        <v>Sobriety Date</v>
      </c>
      <c r="N290" s="11" t="s">
        <v>175</v>
      </c>
      <c r="AF290" s="11">
        <f>SUBTOTAL(3,_xlfn.SINGLE(tbl_tags[RowId]))</f>
        <v>1</v>
      </c>
    </row>
    <row r="291" spans="5:32">
      <c r="E291" t="str">
        <f>IF(G291&lt;&gt;tbl_tags[[#This Row],[Tags]],"X","")</f>
        <v>X</v>
      </c>
      <c r="G291" s="259" t="s">
        <v>2500</v>
      </c>
      <c r="J291" s="4">
        <v>269</v>
      </c>
      <c r="K291" s="20" t="s">
        <v>2499</v>
      </c>
      <c r="L291" s="4">
        <v>1</v>
      </c>
      <c r="M291" s="21" t="str">
        <f>HYPERLINK("obsidian://open?vault=o2&amp;file=Templater%20Cheat%20Sheet.md","Templater Cheat Sheet")</f>
        <v>Templater Cheat Sheet</v>
      </c>
      <c r="N291" s="11" t="s">
        <v>175</v>
      </c>
      <c r="AF291" s="11">
        <f>SUBTOTAL(3,_xlfn.SINGLE(tbl_tags[RowId]))</f>
        <v>1</v>
      </c>
    </row>
    <row r="292" spans="5:32">
      <c r="E292" t="str">
        <f>IF(G292&lt;&gt;tbl_tags[[#This Row],[Tags]],"X","")</f>
        <v>X</v>
      </c>
      <c r="G292" s="258" t="s">
        <v>778</v>
      </c>
      <c r="J292" s="4">
        <v>270</v>
      </c>
      <c r="K292" s="20" t="s">
        <v>2500</v>
      </c>
      <c r="L292" s="4">
        <v>1</v>
      </c>
      <c r="M292" s="21" t="str">
        <f>HYPERLINK("obsidian://open?vault=o2&amp;file=Templater%20Cheat%20Sheet.md","Templater Cheat Sheet")</f>
        <v>Templater Cheat Sheet</v>
      </c>
      <c r="N292" s="11" t="s">
        <v>175</v>
      </c>
      <c r="AF292" s="11">
        <f>SUBTOTAL(3,_xlfn.SINGLE(tbl_tags[RowId]))</f>
        <v>1</v>
      </c>
    </row>
    <row r="293" spans="5:32">
      <c r="E293" t="str">
        <f>IF(G293&lt;&gt;tbl_tags[[#This Row],[Tags]],"X","")</f>
        <v>X</v>
      </c>
      <c r="G293" s="259" t="s">
        <v>2501</v>
      </c>
      <c r="J293" s="4">
        <v>271</v>
      </c>
      <c r="K293" s="20" t="s">
        <v>778</v>
      </c>
      <c r="L293" s="4">
        <v>3</v>
      </c>
      <c r="M293" s="21" t="str">
        <f>HYPERLINK("obsidian://open?vault=o2&amp;file=Hotkey%20ShortList%20by%20CommandID.md","Hotkey ShortList by CommandID")</f>
        <v>Hotkey ShortList by CommandID</v>
      </c>
      <c r="N293" s="11" t="s">
        <v>175</v>
      </c>
      <c r="O293" s="21" t="str">
        <f>HYPERLINK("obsidian://open?vault=o2&amp;file=Hotkeys%20by%20CommandID.md","Hotkeys by CommandID")</f>
        <v>Hotkeys by CommandID</v>
      </c>
      <c r="P293" s="11" t="s">
        <v>175</v>
      </c>
      <c r="Q293" s="21" t="str">
        <f>HYPERLINK("obsidian://open?vault=o2&amp;file=Hotkeys%20Defined.md","Hotkeys Defined")</f>
        <v>Hotkeys Defined</v>
      </c>
      <c r="R293" s="11" t="s">
        <v>175</v>
      </c>
      <c r="AF293" s="11">
        <f>SUBTOTAL(3,_xlfn.SINGLE(tbl_tags[RowId]))</f>
        <v>1</v>
      </c>
    </row>
    <row r="294" spans="5:32">
      <c r="E294" t="str">
        <f>IF(G294&lt;&gt;tbl_tags[[#This Row],[Tags]],"X","")</f>
        <v>X</v>
      </c>
      <c r="G294" s="258" t="s">
        <v>1208</v>
      </c>
      <c r="J294" s="4">
        <v>272</v>
      </c>
      <c r="K294" s="20" t="s">
        <v>2501</v>
      </c>
      <c r="L294" s="4">
        <v>2</v>
      </c>
      <c r="M294" s="21" t="str">
        <f>HYPERLINK("obsidian://open?vault=o2&amp;file=Dataview%20cheat%20sheet.md","Dataview cheat sheet")</f>
        <v>Dataview cheat sheet</v>
      </c>
      <c r="N294" s="11" t="s">
        <v>175</v>
      </c>
      <c r="O294"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P294" s="11" t="s">
        <v>175</v>
      </c>
      <c r="AF294" s="11">
        <f>SUBTOTAL(3,_xlfn.SINGLE(tbl_tags[RowId]))</f>
        <v>1</v>
      </c>
    </row>
    <row r="295" spans="5:32">
      <c r="E295" t="str">
        <f>IF(G295&lt;&gt;tbl_tags[[#This Row],[Tags]],"X","")</f>
        <v>X</v>
      </c>
      <c r="G295" s="259" t="s">
        <v>1879</v>
      </c>
      <c r="J295" s="4">
        <v>273</v>
      </c>
      <c r="K295" s="20" t="s">
        <v>1208</v>
      </c>
      <c r="L295" s="4">
        <v>1</v>
      </c>
      <c r="M295" s="21" t="str">
        <f>HYPERLINK("obsidian://open?vault=o2&amp;file=Setup%20Servarr.md","Setup Servarr")</f>
        <v>Setup Servarr</v>
      </c>
      <c r="N295" s="11" t="s">
        <v>175</v>
      </c>
      <c r="AF295" s="11">
        <f>SUBTOTAL(3,_xlfn.SINGLE(tbl_tags[RowId]))</f>
        <v>1</v>
      </c>
    </row>
    <row r="296" spans="5:32">
      <c r="E296" t="str">
        <f>IF(G296&lt;&gt;tbl_tags[[#This Row],[Tags]],"X","")</f>
        <v>X</v>
      </c>
      <c r="G296" s="258" t="s">
        <v>2502</v>
      </c>
      <c r="J296" s="4">
        <v>274</v>
      </c>
      <c r="K296" s="20" t="s">
        <v>1879</v>
      </c>
      <c r="L296" s="4">
        <v>1</v>
      </c>
      <c r="M296" s="21" t="str">
        <f>HYPERLINK("obsidian://open?vault=o2&amp;file=testing%20gevents%20offset.md","testing gevents offset")</f>
        <v>testing gevents offset</v>
      </c>
      <c r="N296" s="11" t="s">
        <v>175</v>
      </c>
      <c r="AF296" s="11">
        <f>SUBTOTAL(3,_xlfn.SINGLE(tbl_tags[RowId]))</f>
        <v>1</v>
      </c>
    </row>
    <row r="297" spans="5:32">
      <c r="E297" t="str">
        <f>IF(G297&lt;&gt;tbl_tags[[#This Row],[Tags]],"X","")</f>
        <v>X</v>
      </c>
      <c r="G297" s="259" t="s">
        <v>2503</v>
      </c>
      <c r="J297" s="4">
        <v>275</v>
      </c>
      <c r="K297" s="20" t="s">
        <v>2502</v>
      </c>
      <c r="L297" s="4">
        <v>1</v>
      </c>
      <c r="M297" s="21" t="str">
        <f>HYPERLINK("obsidian://open?vault=o2&amp;file=gEventTest.md","gEventTest")</f>
        <v>gEventTest</v>
      </c>
      <c r="N297" s="11" t="s">
        <v>175</v>
      </c>
      <c r="AF297" s="11">
        <f>SUBTOTAL(3,_xlfn.SINGLE(tbl_tags[RowId]))</f>
        <v>1</v>
      </c>
    </row>
    <row r="298" spans="5:32">
      <c r="E298" t="str">
        <f>IF(G298&lt;&gt;tbl_tags[[#This Row],[Tags]],"X","")</f>
        <v>X</v>
      </c>
      <c r="G298" s="258" t="s">
        <v>2504</v>
      </c>
      <c r="J298" s="4">
        <v>276</v>
      </c>
      <c r="K298" s="20" t="s">
        <v>2503</v>
      </c>
      <c r="L298" s="4">
        <v>1</v>
      </c>
      <c r="M298" s="21" t="str">
        <f>HYPERLINK("obsidian://open?vault=o2&amp;file=Google%20Dorks%202025.md","Google Dorks 2025")</f>
        <v>Google Dorks 2025</v>
      </c>
      <c r="N298" s="11" t="s">
        <v>175</v>
      </c>
      <c r="AF298" s="11">
        <f>SUBTOTAL(3,_xlfn.SINGLE(tbl_tags[RowId]))</f>
        <v>1</v>
      </c>
    </row>
    <row r="299" spans="5:32">
      <c r="E299" t="str">
        <f>IF(G299&lt;&gt;tbl_tags[[#This Row],[Tags]],"X","")</f>
        <v>X</v>
      </c>
      <c r="G299" s="259" t="s">
        <v>2505</v>
      </c>
      <c r="J299" s="4">
        <v>277</v>
      </c>
      <c r="K299" s="20" t="s">
        <v>2504</v>
      </c>
      <c r="L299" s="4">
        <v>1</v>
      </c>
      <c r="M299" s="21" t="str">
        <f>HYPERLINK("obsidian://open?vault=o2&amp;file=Terminal%20Color%20Escape%20Sequences.md","Terminal Color Escape Sequences")</f>
        <v>Terminal Color Escape Sequences</v>
      </c>
      <c r="N299" s="11" t="s">
        <v>175</v>
      </c>
      <c r="AF299" s="11">
        <f>SUBTOTAL(3,_xlfn.SINGLE(tbl_tags[RowId]))</f>
        <v>1</v>
      </c>
    </row>
    <row r="300" spans="5:32">
      <c r="E300" t="str">
        <f>IF(G300&lt;&gt;tbl_tags[[#This Row],[Tags]],"X","")</f>
        <v>X</v>
      </c>
      <c r="G300" s="258" t="s">
        <v>2506</v>
      </c>
      <c r="J300" s="4">
        <v>278</v>
      </c>
      <c r="K300" s="20" t="s">
        <v>2505</v>
      </c>
      <c r="L300" s="4">
        <v>2</v>
      </c>
      <c r="M300"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300" s="11" t="s">
        <v>175</v>
      </c>
      <c r="O300" s="21" t="str">
        <f>HYPERLINK("obsidian://open?vault=o2&amp;file=Python%20Style%20Guide.md","Python Style Guide")</f>
        <v>Python Style Guide</v>
      </c>
      <c r="P300" s="11" t="s">
        <v>175</v>
      </c>
      <c r="AF300" s="11">
        <f>SUBTOTAL(3,_xlfn.SINGLE(tbl_tags[RowId]))</f>
        <v>1</v>
      </c>
    </row>
    <row r="301" spans="5:32">
      <c r="E301" t="str">
        <f>IF(G301&lt;&gt;tbl_tags[[#This Row],[Tags]],"X","")</f>
        <v>X</v>
      </c>
      <c r="G301" s="259" t="s">
        <v>2507</v>
      </c>
      <c r="J301" s="4">
        <v>279</v>
      </c>
      <c r="K301" s="20" t="s">
        <v>2506</v>
      </c>
      <c r="L301" s="4">
        <v>1</v>
      </c>
      <c r="M301" s="21" t="str">
        <f>HYPERLINK("obsidian://open?vault=o2&amp;file=27%20Useful%20CSS%20Plugins%20for%20Obsidian.md","27 Useful CSS Plugins for Obsidian")</f>
        <v>27 Useful CSS Plugins for Obsidian</v>
      </c>
      <c r="N301" s="11" t="s">
        <v>175</v>
      </c>
      <c r="AF301" s="11">
        <f>SUBTOTAL(3,_xlfn.SINGLE(tbl_tags[RowId]))</f>
        <v>1</v>
      </c>
    </row>
    <row r="302" spans="5:32">
      <c r="E302" t="str">
        <f>IF(G302&lt;&gt;tbl_tags[[#This Row],[Tags]],"X","")</f>
        <v>X</v>
      </c>
      <c r="G302" s="258" t="s">
        <v>2508</v>
      </c>
      <c r="J302" s="4">
        <v>280</v>
      </c>
      <c r="K302" s="20" t="s">
        <v>2507</v>
      </c>
      <c r="L302" s="4">
        <v>1</v>
      </c>
      <c r="M302" s="21" t="str">
        <f>HYPERLINK("obsidian://open?vault=o2&amp;file=Daily%20Prayers.md","Daily Prayers")</f>
        <v>Daily Prayers</v>
      </c>
      <c r="N302" s="11" t="s">
        <v>175</v>
      </c>
      <c r="AF302" s="11">
        <f>SUBTOTAL(3,_xlfn.SINGLE(tbl_tags[RowId]))</f>
        <v>1</v>
      </c>
    </row>
    <row r="303" spans="5:32">
      <c r="E303" t="str">
        <f>IF(G303&lt;&gt;tbl_tags[[#This Row],[Tags]],"X","")</f>
        <v>X</v>
      </c>
      <c r="G303" s="259" t="s">
        <v>2509</v>
      </c>
      <c r="J303" s="4">
        <v>281</v>
      </c>
      <c r="K303" s="20" t="s">
        <v>2508</v>
      </c>
      <c r="L303" s="4">
        <v>2</v>
      </c>
      <c r="M303" s="21" t="str">
        <f>HYPERLINK("obsidian://open?vault=o2&amp;file=Google%20Dorks%202025.md","Google Dorks 2025")</f>
        <v>Google Dorks 2025</v>
      </c>
      <c r="N303" s="11" t="s">
        <v>175</v>
      </c>
      <c r="O303"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P303" s="11" t="s">
        <v>175</v>
      </c>
      <c r="AF303" s="11">
        <f>SUBTOTAL(3,_xlfn.SINGLE(tbl_tags[RowId]))</f>
        <v>1</v>
      </c>
    </row>
    <row r="304" spans="5:32">
      <c r="E304" t="str">
        <f>IF(G304&lt;&gt;tbl_tags[[#This Row],[Tags]],"X","")</f>
        <v>X</v>
      </c>
      <c r="G304" s="258" t="s">
        <v>2510</v>
      </c>
      <c r="J304" s="4">
        <v>282</v>
      </c>
      <c r="K304" s="20" t="s">
        <v>2509</v>
      </c>
      <c r="L304" s="4">
        <v>2</v>
      </c>
      <c r="M304" s="21" t="str">
        <f>HYPERLINK("obsidian://open?vault=o2&amp;file=Managing%20thoughts%20and%20ideas.md","Managing thoughts and ideas")</f>
        <v>Managing thoughts and ideas</v>
      </c>
      <c r="N304" s="11" t="s">
        <v>175</v>
      </c>
      <c r="O304" s="21" t="str">
        <f>HYPERLINK("obsidian://open?vault=o2&amp;file=%E2%9A%92%EF%B8%8F%20FUT%20-%20Frequently%20Used%20Tags.md","⚒️ FUT - Frequently Used Tags")</f>
        <v>⚒️ FUT - Frequently Used Tags</v>
      </c>
      <c r="P304" s="11" t="s">
        <v>175</v>
      </c>
      <c r="AF304" s="11">
        <f>SUBTOTAL(3,_xlfn.SINGLE(tbl_tags[RowId]))</f>
        <v>1</v>
      </c>
    </row>
    <row r="305" spans="5:32">
      <c r="E305" t="str">
        <f>IF(G305&lt;&gt;tbl_tags[[#This Row],[Tags]],"X","")</f>
        <v>X</v>
      </c>
      <c r="G305" s="259" t="s">
        <v>2511</v>
      </c>
      <c r="J305" s="4">
        <v>283</v>
      </c>
      <c r="K305" s="20" t="s">
        <v>2510</v>
      </c>
      <c r="L305" s="4">
        <v>1</v>
      </c>
      <c r="M305" s="21" t="str">
        <f>HYPERLINK("obsidian://open?vault=o2&amp;file=2025-01-27.md","2025-01-27")</f>
        <v>2025-01-27</v>
      </c>
      <c r="N305" s="11" t="s">
        <v>175</v>
      </c>
      <c r="AF305" s="11">
        <f>SUBTOTAL(3,_xlfn.SINGLE(tbl_tags[RowId]))</f>
        <v>1</v>
      </c>
    </row>
    <row r="306" spans="5:32">
      <c r="E306" t="str">
        <f>IF(G306&lt;&gt;tbl_tags[[#This Row],[Tags]],"X","")</f>
        <v>X</v>
      </c>
      <c r="G306" s="258" t="s">
        <v>2512</v>
      </c>
      <c r="J306" s="4">
        <v>284</v>
      </c>
      <c r="K306" s="20" t="s">
        <v>2511</v>
      </c>
      <c r="L306" s="4">
        <v>1</v>
      </c>
      <c r="M306" s="21" t="str">
        <f>HYPERLINK("obsidian://open?vault=o2&amp;file=Set%20Up%20and%20Secure%20a%20Compute%20Instance.md","Set Up and Secure a Compute Instance")</f>
        <v>Set Up and Secure a Compute Instance</v>
      </c>
      <c r="N306" s="11" t="s">
        <v>175</v>
      </c>
      <c r="AF306" s="11">
        <f>SUBTOTAL(3,_xlfn.SINGLE(tbl_tags[RowId]))</f>
        <v>1</v>
      </c>
    </row>
    <row r="307" spans="5:32">
      <c r="E307" t="str">
        <f>IF(G307&lt;&gt;tbl_tags[[#This Row],[Tags]],"X","")</f>
        <v>X</v>
      </c>
      <c r="G307" s="259" t="s">
        <v>2513</v>
      </c>
      <c r="J307" s="4">
        <v>285</v>
      </c>
      <c r="K307" s="20" t="s">
        <v>2512</v>
      </c>
      <c r="L307" s="4">
        <v>1</v>
      </c>
      <c r="M307" s="21" t="str">
        <f>HYPERLINK("obsidian://open?vault=o2&amp;file=2025-01-27.md","2025-01-27")</f>
        <v>2025-01-27</v>
      </c>
      <c r="N307" s="11" t="s">
        <v>175</v>
      </c>
      <c r="AF307" s="11">
        <f>SUBTOTAL(3,_xlfn.SINGLE(tbl_tags[RowId]))</f>
        <v>1</v>
      </c>
    </row>
    <row r="308" spans="5:32">
      <c r="E308" t="str">
        <f>IF(G308&lt;&gt;tbl_tags[[#This Row],[Tags]],"X","")</f>
        <v>X</v>
      </c>
      <c r="G308" s="258" t="s">
        <v>2514</v>
      </c>
      <c r="J308" s="4">
        <v>286</v>
      </c>
      <c r="K308" s="20" t="s">
        <v>2513</v>
      </c>
      <c r="L308" s="4">
        <v>1</v>
      </c>
      <c r="M308" s="21" t="str">
        <f>HYPERLINK("obsidian://open?vault=o2&amp;file=Master%20OSINT%20Toolbox.md","Master OSINT Toolbox")</f>
        <v>Master OSINT Toolbox</v>
      </c>
      <c r="N308" s="11" t="s">
        <v>175</v>
      </c>
      <c r="AF308" s="11">
        <f>SUBTOTAL(3,_xlfn.SINGLE(tbl_tags[RowId]))</f>
        <v>1</v>
      </c>
    </row>
    <row r="309" spans="5:32">
      <c r="E309" t="str">
        <f>IF(G309&lt;&gt;tbl_tags[[#This Row],[Tags]],"X","")</f>
        <v>X</v>
      </c>
      <c r="G309" s="259" t="s">
        <v>2515</v>
      </c>
      <c r="J309" s="4">
        <v>287</v>
      </c>
      <c r="K309" s="20" t="s">
        <v>2514</v>
      </c>
      <c r="L309" s="4">
        <v>2</v>
      </c>
      <c r="M309" s="21" t="str">
        <f>HYPERLINK("obsidian://open?vault=o2&amp;file=Best%20qBittorrents%20Settings%20%28Plus%20Port%20Forwarder%29.md","Best qBittorrents Settings (Plus Port Forwarder)")</f>
        <v>Best qBittorrents Settings (Plus Port Forwarder)</v>
      </c>
      <c r="N309" s="11" t="s">
        <v>175</v>
      </c>
      <c r="O309" s="21" t="str">
        <f>HYPERLINK("obsidian://open?vault=o2&amp;file=Setup%20Deluge.md","Setup Deluge")</f>
        <v>Setup Deluge</v>
      </c>
      <c r="P309" s="11" t="s">
        <v>175</v>
      </c>
      <c r="AF309" s="11">
        <f>SUBTOTAL(3,_xlfn.SINGLE(tbl_tags[RowId]))</f>
        <v>1</v>
      </c>
    </row>
    <row r="310" spans="5:32">
      <c r="E310" t="str">
        <f>IF(G310&lt;&gt;tbl_tags[[#This Row],[Tags]],"X","")</f>
        <v>X</v>
      </c>
      <c r="G310" s="258" t="s">
        <v>2516</v>
      </c>
      <c r="J310" s="4">
        <v>288</v>
      </c>
      <c r="K310" s="20" t="s">
        <v>2515</v>
      </c>
      <c r="L310" s="4">
        <v>1</v>
      </c>
      <c r="M310" s="21" t="str">
        <f>HYPERLINK("obsidian://open?vault=o2&amp;file=Best%20qBittorrents%20Settings%20%28Plus%20Port%20Forwarder%29.md","Best qBittorrents Settings (Plus Port Forwarder)")</f>
        <v>Best qBittorrents Settings (Plus Port Forwarder)</v>
      </c>
      <c r="N310" s="11" t="s">
        <v>175</v>
      </c>
      <c r="AF310" s="11">
        <f>SUBTOTAL(3,_xlfn.SINGLE(tbl_tags[RowId]))</f>
        <v>1</v>
      </c>
    </row>
    <row r="311" spans="5:32">
      <c r="E311" t="str">
        <f>IF(G311&lt;&gt;tbl_tags[[#This Row],[Tags]],"X","")</f>
        <v>X</v>
      </c>
      <c r="G311" s="259" t="s">
        <v>2517</v>
      </c>
      <c r="J311" s="4">
        <v>289</v>
      </c>
      <c r="K311" s="20" t="s">
        <v>2516</v>
      </c>
      <c r="L311" s="4">
        <v>1</v>
      </c>
      <c r="M311" s="21" t="str">
        <f>HYPERLINK("obsidian://open?vault=o2&amp;file=%E2%99%BB%EF%B8%8F%20My%20Habits.md","♻️ My Habits")</f>
        <v>♻️ My Habits</v>
      </c>
      <c r="N311" s="11" t="s">
        <v>175</v>
      </c>
      <c r="AF311" s="11">
        <f>SUBTOTAL(3,_xlfn.SINGLE(tbl_tags[RowId]))</f>
        <v>1</v>
      </c>
    </row>
    <row r="312" spans="5:32">
      <c r="E312" t="str">
        <f>IF(G312&lt;&gt;tbl_tags[[#This Row],[Tags]],"X","")</f>
        <v>X</v>
      </c>
      <c r="G312" s="258" t="s">
        <v>1348</v>
      </c>
      <c r="J312" s="4">
        <v>290</v>
      </c>
      <c r="K312" s="20" t="s">
        <v>2517</v>
      </c>
      <c r="L312" s="4">
        <v>1</v>
      </c>
      <c r="M312" s="21" t="str">
        <f>HYPERLINK("obsidian://open?vault=o2&amp;file=Python%20Style%20Guide.md","Python Style Guide")</f>
        <v>Python Style Guide</v>
      </c>
      <c r="N312" s="11" t="s">
        <v>175</v>
      </c>
      <c r="AF312" s="11">
        <f>SUBTOTAL(3,_xlfn.SINGLE(tbl_tags[RowId]))</f>
        <v>1</v>
      </c>
    </row>
    <row r="313" spans="5:32">
      <c r="E313" t="str">
        <f>IF(G313&lt;&gt;tbl_tags[[#This Row],[Tags]],"X","")</f>
        <v>X</v>
      </c>
      <c r="G313" s="259" t="s">
        <v>2518</v>
      </c>
      <c r="J313" s="4">
        <v>291</v>
      </c>
      <c r="K313" s="20" t="s">
        <v>1348</v>
      </c>
      <c r="L313" s="4">
        <v>1</v>
      </c>
      <c r="M313" s="21" t="str">
        <f>HYPERLINK("obsidian://open?vault=o2&amp;file=Setup%20Servarr.md","Setup Servarr")</f>
        <v>Setup Servarr</v>
      </c>
      <c r="N313" s="11" t="s">
        <v>175</v>
      </c>
      <c r="AF313" s="11">
        <f>SUBTOTAL(3,_xlfn.SINGLE(tbl_tags[RowId]))</f>
        <v>1</v>
      </c>
    </row>
    <row r="314" spans="5:32">
      <c r="E314" t="str">
        <f>IF(G314&lt;&gt;tbl_tags[[#This Row],[Tags]],"X","")</f>
        <v>X</v>
      </c>
      <c r="G314" s="258" t="s">
        <v>2519</v>
      </c>
      <c r="J314" s="4">
        <v>292</v>
      </c>
      <c r="K314" s="20" t="s">
        <v>2518</v>
      </c>
      <c r="L314" s="4">
        <v>1</v>
      </c>
      <c r="M314" s="21" t="str">
        <f>HYPERLINK("obsidian://open?vault=o2&amp;file=Python%20Style%20Guide.md","Python Style Guide")</f>
        <v>Python Style Guide</v>
      </c>
      <c r="N314" s="11" t="s">
        <v>175</v>
      </c>
      <c r="AF314" s="11">
        <f>SUBTOTAL(3,_xlfn.SINGLE(tbl_tags[RowId]))</f>
        <v>1</v>
      </c>
    </row>
    <row r="315" spans="5:32">
      <c r="E315" t="str">
        <f>IF(G315&lt;&gt;tbl_tags[[#This Row],[Tags]],"X","")</f>
        <v>X</v>
      </c>
      <c r="G315" s="259" t="s">
        <v>2520</v>
      </c>
      <c r="J315" s="4">
        <v>293</v>
      </c>
      <c r="K315" s="20" t="s">
        <v>2519</v>
      </c>
      <c r="L315" s="4">
        <v>1</v>
      </c>
      <c r="M315" s="21" t="str">
        <f>HYPERLINK("obsidian://open?vault=o2&amp;file=Templater%20Cheat%20Sheet.md","Templater Cheat Sheet")</f>
        <v>Templater Cheat Sheet</v>
      </c>
      <c r="N315" s="11" t="s">
        <v>175</v>
      </c>
      <c r="AF315" s="11">
        <f>SUBTOTAL(3,_xlfn.SINGLE(tbl_tags[RowId]))</f>
        <v>1</v>
      </c>
    </row>
    <row r="316" spans="5:32">
      <c r="E316" t="str">
        <f>IF(G316&lt;&gt;tbl_tags[[#This Row],[Tags]],"X","")</f>
        <v>X</v>
      </c>
      <c r="G316" s="258" t="s">
        <v>2521</v>
      </c>
      <c r="J316" s="4">
        <v>294</v>
      </c>
      <c r="K316" s="20" t="s">
        <v>2520</v>
      </c>
      <c r="L316" s="4">
        <v>1</v>
      </c>
      <c r="M316" s="21" t="str">
        <f>HYPERLINK("obsidian://open?vault=o2&amp;file=Python%20Style%20Guide.md","Python Style Guide")</f>
        <v>Python Style Guide</v>
      </c>
      <c r="N316" s="11" t="s">
        <v>175</v>
      </c>
      <c r="AF316" s="11">
        <f>SUBTOTAL(3,_xlfn.SINGLE(tbl_tags[RowId]))</f>
        <v>1</v>
      </c>
    </row>
    <row r="317" spans="5:32">
      <c r="E317" t="str">
        <f>IF(G317&lt;&gt;tbl_tags[[#This Row],[Tags]],"X","")</f>
        <v>X</v>
      </c>
      <c r="G317" s="259" t="s">
        <v>2522</v>
      </c>
      <c r="J317" s="4">
        <v>295</v>
      </c>
      <c r="K317" s="20" t="s">
        <v>2521</v>
      </c>
      <c r="L317" s="4">
        <v>1</v>
      </c>
      <c r="M317" s="21" t="str">
        <f>HYPERLINK("obsidian://open?vault=o2&amp;file=Windows%2010%20and%2011%20Wont%20Boot%2C%20How%20To%20Fix%20UEFI%20Partition.md","Windows 10 and 11 Wont Boot, How To Fix UEFI Partition")</f>
        <v>Windows 10 and 11 Wont Boot, How To Fix UEFI Partition</v>
      </c>
      <c r="N317" s="11" t="s">
        <v>175</v>
      </c>
      <c r="AF317" s="11">
        <f>SUBTOTAL(3,_xlfn.SINGLE(tbl_tags[RowId]))</f>
        <v>1</v>
      </c>
    </row>
    <row r="318" spans="5:32">
      <c r="E318" t="str">
        <f>IF(G318&lt;&gt;tbl_tags[[#This Row],[Tags]],"X","")</f>
        <v>X</v>
      </c>
      <c r="G318" s="258" t="s">
        <v>2523</v>
      </c>
      <c r="J318" s="4">
        <v>296</v>
      </c>
      <c r="K318" s="20" t="s">
        <v>2522</v>
      </c>
      <c r="L318" s="4">
        <v>1</v>
      </c>
      <c r="M318" s="21" t="str">
        <f>HYPERLINK("obsidian://open?vault=o2&amp;file=Set%20Up%20and%20Secure%20a%20Compute%20Instance.md","Set Up and Secure a Compute Instance")</f>
        <v>Set Up and Secure a Compute Instance</v>
      </c>
      <c r="N318" s="11" t="s">
        <v>175</v>
      </c>
      <c r="AF318" s="11">
        <f>SUBTOTAL(3,_xlfn.SINGLE(tbl_tags[RowId]))</f>
        <v>1</v>
      </c>
    </row>
    <row r="319" spans="5:32">
      <c r="E319" t="str">
        <f>IF(G319&lt;&gt;tbl_tags[[#This Row],[Tags]],"X","")</f>
        <v>X</v>
      </c>
      <c r="G319" s="259" t="s">
        <v>2524</v>
      </c>
      <c r="J319" s="4">
        <v>297</v>
      </c>
      <c r="K319" s="20" t="s">
        <v>2523</v>
      </c>
      <c r="L319" s="4">
        <v>1</v>
      </c>
      <c r="M319" s="21" t="str">
        <f>HYPERLINK("obsidian://open?vault=o2&amp;file=Setup%20Servarr.md","Setup Servarr")</f>
        <v>Setup Servarr</v>
      </c>
      <c r="N319" s="11" t="s">
        <v>175</v>
      </c>
      <c r="AF319" s="11">
        <f>SUBTOTAL(3,_xlfn.SINGLE(tbl_tags[RowId]))</f>
        <v>1</v>
      </c>
    </row>
    <row r="320" spans="5:32">
      <c r="E320" t="str">
        <f>IF(G320&lt;&gt;tbl_tags[[#This Row],[Tags]],"X","")</f>
        <v>X</v>
      </c>
      <c r="G320" s="258" t="s">
        <v>2525</v>
      </c>
      <c r="J320" s="4">
        <v>298</v>
      </c>
      <c r="K320" s="20" t="s">
        <v>2524</v>
      </c>
      <c r="L320" s="4">
        <v>1</v>
      </c>
      <c r="M320" s="21" t="str">
        <f>HYPERLINK("obsidian://open?vault=o2&amp;file=Daily%20Prayers.md","Daily Prayers")</f>
        <v>Daily Prayers</v>
      </c>
      <c r="N320" s="11" t="s">
        <v>175</v>
      </c>
      <c r="AF320" s="11">
        <f>SUBTOTAL(3,_xlfn.SINGLE(tbl_tags[RowId]))</f>
        <v>1</v>
      </c>
    </row>
    <row r="321" spans="5:32">
      <c r="E321" t="str">
        <f>IF(G321&lt;&gt;tbl_tags[[#This Row],[Tags]],"X","")</f>
        <v>X</v>
      </c>
      <c r="G321" s="259" t="s">
        <v>2526</v>
      </c>
      <c r="J321" s="4">
        <v>299</v>
      </c>
      <c r="K321" s="20" t="s">
        <v>2525</v>
      </c>
      <c r="L321" s="4">
        <v>1</v>
      </c>
      <c r="M321" s="21" t="str">
        <f>HYPERLINK("obsidian://open?vault=o2&amp;file=How%20to%20text%20from%20your%20PC%20if%20you%20have%20an%20iPhone.md","How to text from your PC if you have an iPhone")</f>
        <v>How to text from your PC if you have an iPhone</v>
      </c>
      <c r="N321" s="11" t="s">
        <v>175</v>
      </c>
      <c r="AF321" s="11">
        <f>SUBTOTAL(3,_xlfn.SINGLE(tbl_tags[RowId]))</f>
        <v>1</v>
      </c>
    </row>
    <row r="322" spans="5:32">
      <c r="E322" t="str">
        <f>IF(G322&lt;&gt;tbl_tags[[#This Row],[Tags]],"X","")</f>
        <v>X</v>
      </c>
      <c r="G322" s="258" t="s">
        <v>2527</v>
      </c>
      <c r="J322" s="4">
        <v>300</v>
      </c>
      <c r="K322" s="20" t="s">
        <v>2526</v>
      </c>
      <c r="L322" s="4">
        <v>1</v>
      </c>
      <c r="M322" s="21" t="str">
        <f>HYPERLINK("obsidian://open?vault=o2&amp;file=Templater%20Cheat%20Sheet.md","Templater Cheat Sheet")</f>
        <v>Templater Cheat Sheet</v>
      </c>
      <c r="N322" s="11" t="s">
        <v>175</v>
      </c>
      <c r="AF322" s="11">
        <f>SUBTOTAL(3,_xlfn.SINGLE(tbl_tags[RowId]))</f>
        <v>1</v>
      </c>
    </row>
    <row r="323" spans="5:32">
      <c r="E323" t="str">
        <f>IF(G323&lt;&gt;tbl_tags[[#This Row],[Tags]],"X","")</f>
        <v>X</v>
      </c>
      <c r="G323" s="259" t="s">
        <v>2528</v>
      </c>
      <c r="J323" s="4">
        <v>301</v>
      </c>
      <c r="K323" s="20" t="s">
        <v>2527</v>
      </c>
      <c r="L323" s="4">
        <v>1</v>
      </c>
      <c r="M323" s="21" t="str">
        <f>HYPERLINK("obsidian://open?vault=o2&amp;file=%F0%9F%92%A1%20Idea%20to%20extend%20v_chk%20Wb%20Engine.md","💡 Idea to extend v_chk Wb Engine")</f>
        <v>💡 Idea to extend v_chk Wb Engine</v>
      </c>
      <c r="N323" s="11" t="s">
        <v>175</v>
      </c>
      <c r="AF323" s="11">
        <f>SUBTOTAL(3,_xlfn.SINGLE(tbl_tags[RowId]))</f>
        <v>1</v>
      </c>
    </row>
    <row r="324" spans="5:32">
      <c r="E324" t="str">
        <f>IF(G324&lt;&gt;tbl_tags[[#This Row],[Tags]],"X","")</f>
        <v>X</v>
      </c>
      <c r="G324" s="258" t="s">
        <v>1232</v>
      </c>
      <c r="J324" s="4">
        <v>302</v>
      </c>
      <c r="K324" s="20" t="s">
        <v>2528</v>
      </c>
      <c r="L324" s="4">
        <v>1</v>
      </c>
      <c r="M324" s="21" t="str">
        <f>HYPERLINK("obsidian://open?vault=o2&amp;file=VBA%20Script%20to%20Load%20Folder%20images%20into%20Excel.md","VBA Script to Load Folder images into Excel")</f>
        <v>VBA Script to Load Folder images into Excel</v>
      </c>
      <c r="N324" s="11" t="s">
        <v>175</v>
      </c>
      <c r="AF324" s="11">
        <f>SUBTOTAL(3,_xlfn.SINGLE(tbl_tags[RowId]))</f>
        <v>1</v>
      </c>
    </row>
    <row r="325" spans="5:32">
      <c r="E325" t="str">
        <f>IF(G325&lt;&gt;tbl_tags[[#This Row],[Tags]],"X","")</f>
        <v>X</v>
      </c>
      <c r="G325" s="259" t="s">
        <v>2529</v>
      </c>
      <c r="J325" s="4">
        <v>303</v>
      </c>
      <c r="K325" s="20" t="s">
        <v>1232</v>
      </c>
      <c r="L325" s="4">
        <v>1</v>
      </c>
      <c r="M325" s="21" t="str">
        <f>HYPERLINK("obsidian://open?vault=o2&amp;file=Best%20qBittorrents%20Settings%20%28Plus%20Port%20Forwarder%29.md","Best qBittorrents Settings (Plus Port Forwarder)")</f>
        <v>Best qBittorrents Settings (Plus Port Forwarder)</v>
      </c>
      <c r="N325" s="11" t="s">
        <v>175</v>
      </c>
      <c r="AF325" s="11">
        <f>SUBTOTAL(3,_xlfn.SINGLE(tbl_tags[RowId]))</f>
        <v>1</v>
      </c>
    </row>
    <row r="326" spans="5:32">
      <c r="E326" t="str">
        <f>IF(G326&lt;&gt;tbl_tags[[#This Row],[Tags]],"X","")</f>
        <v>X</v>
      </c>
      <c r="G326" s="258" t="s">
        <v>2530</v>
      </c>
      <c r="J326" s="4">
        <v>304</v>
      </c>
      <c r="K326" s="20" t="s">
        <v>2529</v>
      </c>
      <c r="L326" s="4">
        <v>1</v>
      </c>
      <c r="M326" s="21" t="str">
        <f>HYPERLINK("obsidian://open?vault=o2&amp;file=Todoist%20Sync%20Plugin.md","Todoist Sync Plugin")</f>
        <v>Todoist Sync Plugin</v>
      </c>
      <c r="N326" s="11" t="s">
        <v>175</v>
      </c>
      <c r="AF326" s="11">
        <f>SUBTOTAL(3,_xlfn.SINGLE(tbl_tags[RowId]))</f>
        <v>1</v>
      </c>
    </row>
    <row r="327" spans="5:32">
      <c r="E327" t="str">
        <f>IF(G327&lt;&gt;tbl_tags[[#This Row],[Tags]],"X","")</f>
        <v>X</v>
      </c>
      <c r="G327" s="259" t="s">
        <v>2531</v>
      </c>
      <c r="J327" s="4">
        <v>305</v>
      </c>
      <c r="K327" s="20" t="s">
        <v>2530</v>
      </c>
      <c r="L327" s="4">
        <v>1</v>
      </c>
      <c r="M327" s="21" t="str">
        <f>HYPERLINK("obsidian://open?vault=o2&amp;file=Vim%20Cheatsheet.md","Vim Cheatsheet")</f>
        <v>Vim Cheatsheet</v>
      </c>
      <c r="N327" s="11" t="s">
        <v>175</v>
      </c>
      <c r="AF327" s="11">
        <f>SUBTOTAL(3,_xlfn.SINGLE(tbl_tags[RowId]))</f>
        <v>1</v>
      </c>
    </row>
    <row r="328" spans="5:32">
      <c r="E328" t="str">
        <f>IF(G328&lt;&gt;tbl_tags[[#This Row],[Tags]],"X","")</f>
        <v>X</v>
      </c>
      <c r="G328" s="258" t="s">
        <v>2532</v>
      </c>
      <c r="J328" s="4">
        <v>306</v>
      </c>
      <c r="K328" s="20" t="s">
        <v>2531</v>
      </c>
      <c r="L328" s="4">
        <v>1</v>
      </c>
      <c r="M328" s="21" t="str">
        <f>HYPERLINK("obsidian://open?vault=o2&amp;file=cPanel%20Alternatives.md","cPanel Alternatives")</f>
        <v>cPanel Alternatives</v>
      </c>
      <c r="N328" s="11" t="s">
        <v>175</v>
      </c>
      <c r="AF328" s="11">
        <f>SUBTOTAL(3,_xlfn.SINGLE(tbl_tags[RowId]))</f>
        <v>1</v>
      </c>
    </row>
    <row r="329" spans="5:32">
      <c r="E329" t="str">
        <f>IF(G329&lt;&gt;tbl_tags[[#This Row],[Tags]],"X","")</f>
        <v>X</v>
      </c>
      <c r="G329" s="259" t="s">
        <v>2533</v>
      </c>
      <c r="J329" s="4">
        <v>307</v>
      </c>
      <c r="K329" s="20" t="s">
        <v>2532</v>
      </c>
      <c r="L329" s="4">
        <v>4</v>
      </c>
      <c r="M329" s="21" t="str">
        <f>HYPERLINK("obsidian://open?vault=o2&amp;file=Secure%20Remote%20Access.md","Secure Remote Access")</f>
        <v>Secure Remote Access</v>
      </c>
      <c r="N329" s="11" t="s">
        <v>175</v>
      </c>
      <c r="O329" s="21" t="str">
        <f>HYPERLINK("obsidian://open?vault=o2&amp;file=Setup%20a%20VPN%20on%20your%20network.md","Setup a VPN on your network")</f>
        <v>Setup a VPN on your network</v>
      </c>
      <c r="P329" s="11" t="s">
        <v>175</v>
      </c>
      <c r="Q329" s="21" t="str">
        <f>HYPERLINK("obsidian://open?vault=o2&amp;file=Setup%20Cloudflare.md","Setup Cloudflare")</f>
        <v>Setup Cloudflare</v>
      </c>
      <c r="R329" s="11" t="s">
        <v>175</v>
      </c>
      <c r="S329" s="21" t="str">
        <f>HYPERLINK("obsidian://open?vault=o2&amp;file=Setup%20Wireguard.md","Setup Wireguard")</f>
        <v>Setup Wireguard</v>
      </c>
      <c r="T329" s="11" t="s">
        <v>175</v>
      </c>
      <c r="AF329" s="11">
        <f>SUBTOTAL(3,_xlfn.SINGLE(tbl_tags[RowId]))</f>
        <v>1</v>
      </c>
    </row>
    <row r="330" spans="5:32">
      <c r="E330" t="str">
        <f>IF(G330&lt;&gt;tbl_tags[[#This Row],[Tags]],"X","")</f>
        <v>X</v>
      </c>
      <c r="G330" s="258" t="s">
        <v>2534</v>
      </c>
      <c r="J330" s="4">
        <v>308</v>
      </c>
      <c r="K330" s="20" t="s">
        <v>2533</v>
      </c>
      <c r="L330" s="4">
        <v>1</v>
      </c>
      <c r="M330" s="21" t="str">
        <f>HYPERLINK("obsidian://open?vault=o2&amp;file=Wikipedia%20Portal%20Literature.md","Wikipedia Portal Literature")</f>
        <v>Wikipedia Portal Literature</v>
      </c>
      <c r="N330" s="11" t="s">
        <v>175</v>
      </c>
      <c r="AF330" s="11">
        <f>SUBTOTAL(3,_xlfn.SINGLE(tbl_tags[RowId]))</f>
        <v>1</v>
      </c>
    </row>
    <row r="331" spans="5:32">
      <c r="E331" t="str">
        <f>IF(G331&lt;&gt;tbl_tags[[#This Row],[Tags]],"X","")</f>
        <v>X</v>
      </c>
      <c r="G331" s="259" t="s">
        <v>2535</v>
      </c>
      <c r="J331" s="4">
        <v>309</v>
      </c>
      <c r="K331" s="20" t="s">
        <v>2534</v>
      </c>
      <c r="L331" s="4">
        <v>1</v>
      </c>
      <c r="M331" s="21" t="str">
        <f>HYPERLINK("obsidian://open?vault=o2&amp;file=2025-01-27.md","2025-01-27")</f>
        <v>2025-01-27</v>
      </c>
      <c r="N331" s="11" t="s">
        <v>175</v>
      </c>
      <c r="AF331" s="11">
        <f>SUBTOTAL(3,_xlfn.SINGLE(tbl_tags[RowId]))</f>
        <v>1</v>
      </c>
    </row>
    <row r="332" spans="5:32">
      <c r="E332" t="str">
        <f>IF(G332&lt;&gt;tbl_tags[[#This Row],[Tags]],"X","")</f>
        <v>X</v>
      </c>
      <c r="G332" s="258" t="s">
        <v>2536</v>
      </c>
      <c r="J332" s="4">
        <v>310</v>
      </c>
      <c r="K332" s="20" t="s">
        <v>2535</v>
      </c>
      <c r="L332" s="4">
        <v>1</v>
      </c>
      <c r="M332" s="21" t="str">
        <f>HYPERLINK("obsidian://open?vault=o2&amp;file=Templater%20Cheat%20Sheet.md","Templater Cheat Sheet")</f>
        <v>Templater Cheat Sheet</v>
      </c>
      <c r="N332" s="11" t="s">
        <v>175</v>
      </c>
      <c r="AF332" s="11">
        <f>SUBTOTAL(3,_xlfn.SINGLE(tbl_tags[RowId]))</f>
        <v>1</v>
      </c>
    </row>
    <row r="333" spans="5:32">
      <c r="E333" t="str">
        <f>IF(G333&lt;&gt;tbl_tags[[#This Row],[Tags]],"X","")</f>
        <v>X</v>
      </c>
      <c r="G333" s="259" t="s">
        <v>2537</v>
      </c>
      <c r="J333" s="4">
        <v>311</v>
      </c>
      <c r="K333" s="20" t="s">
        <v>2536</v>
      </c>
      <c r="L333" s="4">
        <v>1</v>
      </c>
      <c r="M333" s="21" t="str">
        <f>HYPERLINK("obsidian://open?vault=o2&amp;file=cPanel%20Alternatives.md","cPanel Alternatives")</f>
        <v>cPanel Alternatives</v>
      </c>
      <c r="N333" s="11" t="s">
        <v>175</v>
      </c>
      <c r="AF333" s="11">
        <f>SUBTOTAL(3,_xlfn.SINGLE(tbl_tags[RowId]))</f>
        <v>1</v>
      </c>
    </row>
    <row r="334" spans="5:32">
      <c r="E334" t="str">
        <f>IF(G334&lt;&gt;tbl_tags[[#This Row],[Tags]],"X","")</f>
        <v>X</v>
      </c>
      <c r="G334" s="258" t="s">
        <v>2538</v>
      </c>
      <c r="J334" s="4">
        <v>312</v>
      </c>
      <c r="K334" s="20" t="s">
        <v>2537</v>
      </c>
      <c r="L334" s="4">
        <v>31</v>
      </c>
      <c r="M334" s="21" t="str">
        <f>HYPERLINK("obsidian://open?vault=o2&amp;file=The%20ad%20haters%20guide%20to%20cord-cutting%20-%20TechHive.md","The ad haters guide to cord-cutting - TechHive")</f>
        <v>The ad haters guide to cord-cutting - TechHive</v>
      </c>
      <c r="N334" s="11" t="s">
        <v>175</v>
      </c>
      <c r="O334" s="21" t="str">
        <f>HYPERLINK("obsidian://open?vault=o2&amp;file=Vim%20Cheatsheet.md","Vim Cheatsheet")</f>
        <v>Vim Cheatsheet</v>
      </c>
      <c r="P334" s="11" t="s">
        <v>175</v>
      </c>
      <c r="Q334" s="21" t="str">
        <f>HYPERLINK("obsidian://open?vault=o2&amp;file=How%20to%20Disable%20IPV6.md","How to Disable IPV6")</f>
        <v>How to Disable IPV6</v>
      </c>
      <c r="R334" s="11" t="s">
        <v>175</v>
      </c>
      <c r="S334" s="21" t="str">
        <f>HYPERLINK("obsidian://open?vault=o2&amp;file=Install%20Nginx%20Proxy%20Manager%20on%20CasaOS.md","Install Nginx Proxy Manager on CasaOS")</f>
        <v>Install Nginx Proxy Manager on CasaOS</v>
      </c>
      <c r="T334" s="11" t="s">
        <v>175</v>
      </c>
      <c r="U334" s="21" t="str">
        <f>HYPERLINK("obsidian://open?vault=o2&amp;file=Zimaboard%20Hardware%20Ports.md","Zimaboard Hardware Ports")</f>
        <v>Zimaboard Hardware Ports</v>
      </c>
      <c r="V334" s="11" t="s">
        <v>175</v>
      </c>
      <c r="W334" s="21" t="str">
        <f>HYPERLINK("obsidian://open?vault=o2&amp;file=Templater%20Cheat%20Sheet.md","Templater Cheat Sheet")</f>
        <v>Templater Cheat Sheet</v>
      </c>
      <c r="X334" s="11" t="s">
        <v>175</v>
      </c>
      <c r="Y334" s="21" t="str">
        <f>HYPERLINK("obsidian://open?vault=o2&amp;file=Fix%20Sound%20on%20Movies.md","Fix Sound on Movies")</f>
        <v>Fix Sound on Movies</v>
      </c>
      <c r="Z334" s="11" t="s">
        <v>175</v>
      </c>
      <c r="AA334" s="21" t="str">
        <f>HYPERLINK("obsidian://open?vault=o2&amp;file=Set%20Up%20and%20Secure%20a%20Compute%20Instance.md","Set Up and Secure a Compute Instance")</f>
        <v>Set Up and Secure a Compute Instance</v>
      </c>
      <c r="AB334" s="11" t="s">
        <v>175</v>
      </c>
      <c r="AC334"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AD334" s="11" t="s">
        <v>175</v>
      </c>
      <c r="AE334" s="21" t="str">
        <f>HYPERLINK("obsidian://open?vault=o2&amp;file=Amazon%E2%80%99s%20Satellite%20Internet%20Won%E2%80%99t%20Need%20a%20Giant%20Antenna.md","Amazon’s Satellite Internet Won’t Need a Giant Antenna")</f>
        <v>Amazon’s Satellite Internet Won’t Need a Giant Antenna</v>
      </c>
      <c r="AF334" s="11">
        <f>SUBTOTAL(3,_xlfn.SINGLE(tbl_tags[RowId]))</f>
        <v>1</v>
      </c>
    </row>
    <row r="335" spans="5:32">
      <c r="E335" t="str">
        <f>IF(G335&lt;&gt;tbl_tags[[#This Row],[Tags]],"X","")</f>
        <v>X</v>
      </c>
      <c r="G335" s="259" t="s">
        <v>2539</v>
      </c>
      <c r="J335" s="4">
        <v>313</v>
      </c>
      <c r="K335" s="20" t="s">
        <v>2538</v>
      </c>
      <c r="L335" s="4">
        <v>3</v>
      </c>
      <c r="M335" s="21" t="str">
        <f>HYPERLINK("obsidian://open?vault=o2&amp;file=60%20Best%20FREE%20Online%20Courses%20with%20Certificates%20%282023%29.md","60 Best FREE Online Courses with Certificates (2023)")</f>
        <v>60 Best FREE Online Courses with Certificates (2023)</v>
      </c>
      <c r="N335" s="11" t="s">
        <v>175</v>
      </c>
      <c r="O335" s="21" t="str">
        <f>HYPERLINK("obsidian://open?vault=o2&amp;file=How%20To%20Cook%20a%20Chicken%20Breast%20-%20FlavCity%20with%20Bobby%20Parrish.md","How To Cook a Chicken Breast - FlavCity with Bobby Parrish")</f>
        <v>How To Cook a Chicken Breast - FlavCity with Bobby Parrish</v>
      </c>
      <c r="P335" s="11" t="s">
        <v>175</v>
      </c>
      <c r="Q335" s="21" t="str">
        <f>HYPERLINK("obsidian://open?vault=o2&amp;file=rAutoHotkey%20-%20Unicode%20fractions.md","rAutoHotkey - Unicode fractions")</f>
        <v>rAutoHotkey - Unicode fractions</v>
      </c>
      <c r="R335" s="11" t="s">
        <v>175</v>
      </c>
      <c r="AF335" s="11">
        <f>SUBTOTAL(3,_xlfn.SINGLE(tbl_tags[RowId]))</f>
        <v>1</v>
      </c>
    </row>
    <row r="336" spans="5:32">
      <c r="E336" t="str">
        <f>IF(G336&lt;&gt;tbl_tags[[#This Row],[Tags]],"X","")</f>
        <v>X</v>
      </c>
      <c r="G336" s="258" t="s">
        <v>2540</v>
      </c>
      <c r="J336" s="4">
        <v>314</v>
      </c>
      <c r="K336" s="20" t="s">
        <v>2539</v>
      </c>
      <c r="L336" s="4">
        <v>1</v>
      </c>
      <c r="M336" s="21" t="str">
        <f>HYPERLINK("obsidian://open?vault=o2&amp;file=cPanel%20Alternatives.md","cPanel Alternatives")</f>
        <v>cPanel Alternatives</v>
      </c>
      <c r="N336" s="11" t="s">
        <v>175</v>
      </c>
      <c r="AF336" s="11">
        <f>SUBTOTAL(3,_xlfn.SINGLE(tbl_tags[RowId]))</f>
        <v>1</v>
      </c>
    </row>
    <row r="337" spans="5:32">
      <c r="E337" t="str">
        <f>IF(G337&lt;&gt;tbl_tags[[#This Row],[Tags]],"X","")</f>
        <v>X</v>
      </c>
      <c r="G337" s="259" t="s">
        <v>2541</v>
      </c>
      <c r="J337" s="4">
        <v>315</v>
      </c>
      <c r="K337" s="20" t="s">
        <v>2540</v>
      </c>
      <c r="L337" s="4">
        <v>1</v>
      </c>
      <c r="M337"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337" s="11" t="s">
        <v>175</v>
      </c>
      <c r="AF337" s="11">
        <f>SUBTOTAL(3,_xlfn.SINGLE(tbl_tags[RowId]))</f>
        <v>1</v>
      </c>
    </row>
    <row r="338" spans="5:32">
      <c r="E338" t="str">
        <f>IF(G338&lt;&gt;tbl_tags[[#This Row],[Tags]],"X","")</f>
        <v>X</v>
      </c>
      <c r="G338" s="258" t="s">
        <v>2542</v>
      </c>
      <c r="J338" s="4">
        <v>316</v>
      </c>
      <c r="K338" s="20" t="s">
        <v>2541</v>
      </c>
      <c r="L338" s="4">
        <v>1</v>
      </c>
      <c r="M338" s="21" t="str">
        <f>HYPERLINK("obsidian://open?vault=o2&amp;file=Templater%20Cheat%20Sheet.md","Templater Cheat Sheet")</f>
        <v>Templater Cheat Sheet</v>
      </c>
      <c r="N338" s="11" t="s">
        <v>175</v>
      </c>
      <c r="AF338" s="11">
        <f>SUBTOTAL(3,_xlfn.SINGLE(tbl_tags[RowId]))</f>
        <v>1</v>
      </c>
    </row>
    <row r="339" spans="5:32">
      <c r="E339" t="str">
        <f>IF(G339&lt;&gt;tbl_tags[[#This Row],[Tags]],"X","")</f>
        <v>X</v>
      </c>
      <c r="G339" s="259" t="s">
        <v>1200</v>
      </c>
      <c r="J339" s="4">
        <v>317</v>
      </c>
      <c r="K339" s="20" t="s">
        <v>2542</v>
      </c>
      <c r="L339" s="4">
        <v>1</v>
      </c>
      <c r="M339"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339" s="11" t="s">
        <v>175</v>
      </c>
      <c r="AF339" s="11">
        <f>SUBTOTAL(3,_xlfn.SINGLE(tbl_tags[RowId]))</f>
        <v>1</v>
      </c>
    </row>
    <row r="340" spans="5:32">
      <c r="E340" t="str">
        <f>IF(G340&lt;&gt;tbl_tags[[#This Row],[Tags]],"X","")</f>
        <v>X</v>
      </c>
      <c r="G340" s="258" t="s">
        <v>2543</v>
      </c>
      <c r="J340" s="4">
        <v>318</v>
      </c>
      <c r="K340" s="20" t="s">
        <v>1200</v>
      </c>
      <c r="L340" s="4">
        <v>5</v>
      </c>
      <c r="M340" s="21" t="str">
        <f>HYPERLINK("obsidian://open?vault=o2&amp;file=Setup%20Certificate.md","Setup Certificate")</f>
        <v>Setup Certificate</v>
      </c>
      <c r="N340" s="11" t="s">
        <v>175</v>
      </c>
      <c r="O340" s="21" t="str">
        <f>HYPERLINK("obsidian://open?vault=o2&amp;file=Free%20DNS%20Servers.md","Free DNS Servers")</f>
        <v>Free DNS Servers</v>
      </c>
      <c r="P340" s="11" t="s">
        <v>175</v>
      </c>
      <c r="Q340" s="21" t="str">
        <f>HYPERLINK("obsidian://open?vault=o2&amp;file=22%20FREE%20Windows%20Utilities%20EVERY%20User%20MUST%20Know%20About%21.md","22 FREE Windows Utilities EVERY User MUST Know About!")</f>
        <v>22 FREE Windows Utilities EVERY User MUST Know About!</v>
      </c>
      <c r="R340" s="11" t="s">
        <v>175</v>
      </c>
      <c r="S340" s="21" t="str">
        <f>HYPERLINK("obsidian://open?vault=o2&amp;file=Mouse%20Cursor%20Freezing%20Issue.md","Mouse Cursor Freezing Issue")</f>
        <v>Mouse Cursor Freezing Issue</v>
      </c>
      <c r="T340" s="11" t="s">
        <v>175</v>
      </c>
      <c r="U340" s="21" t="str">
        <f>HYPERLINK("obsidian://open?vault=o2&amp;file=Rainmeter.md","Rainmeter")</f>
        <v>Rainmeter</v>
      </c>
      <c r="V340" s="11" t="s">
        <v>175</v>
      </c>
      <c r="AF340" s="11">
        <f>SUBTOTAL(3,_xlfn.SINGLE(tbl_tags[RowId]))</f>
        <v>1</v>
      </c>
    </row>
    <row r="341" spans="5:32">
      <c r="E341" t="str">
        <f>IF(G341&lt;&gt;tbl_tags[[#This Row],[Tags]],"X","")</f>
        <v>X</v>
      </c>
      <c r="G341" s="259" t="s">
        <v>2544</v>
      </c>
      <c r="J341" s="4">
        <v>319</v>
      </c>
      <c r="K341" s="20" t="s">
        <v>2543</v>
      </c>
      <c r="L341" s="4">
        <v>2</v>
      </c>
      <c r="M341" s="21" t="str">
        <f>HYPERLINK("obsidian://open?vault=o2&amp;file=22%20FREE%20Windows%20Utilities%20EVERY%20User%20MUST%20Know%20About%21.md","22 FREE Windows Utilities EVERY User MUST Know About!")</f>
        <v>22 FREE Windows Utilities EVERY User MUST Know About!</v>
      </c>
      <c r="N341" s="11" t="s">
        <v>175</v>
      </c>
      <c r="O341" s="21" t="str">
        <f>HYPERLINK("obsidian://open?vault=o2&amp;file=I%20Made%20an%20App%20that%20KEEPS%20Windows%2011%20Debloated%20%26%20Optimized.md","I Made an App that KEEPS Windows 11 Debloated &amp; Optimized")</f>
        <v>I Made an App that KEEPS Windows 11 Debloated &amp; Optimized</v>
      </c>
      <c r="P341" s="11" t="s">
        <v>175</v>
      </c>
      <c r="AF341" s="11">
        <f>SUBTOTAL(3,_xlfn.SINGLE(tbl_tags[RowId]))</f>
        <v>1</v>
      </c>
    </row>
    <row r="342" spans="5:32">
      <c r="E342" t="str">
        <f>IF(G342&lt;&gt;tbl_tags[[#This Row],[Tags]],"X","")</f>
        <v>X</v>
      </c>
      <c r="G342" s="258" t="s">
        <v>2545</v>
      </c>
      <c r="J342" s="4">
        <v>320</v>
      </c>
      <c r="K342" s="20" t="s">
        <v>2544</v>
      </c>
      <c r="L342" s="4">
        <v>2</v>
      </c>
      <c r="M342" s="21" t="str">
        <f>HYPERLINK("obsidian://open?vault=o2&amp;file=22%20FREE%20Windows%20Utilities%20EVERY%20User%20MUST%20Know%20About%21.md","22 FREE Windows Utilities EVERY User MUST Know About!")</f>
        <v>22 FREE Windows Utilities EVERY User MUST Know About!</v>
      </c>
      <c r="N342" s="11" t="s">
        <v>175</v>
      </c>
      <c r="O342" s="21" t="str">
        <f>HYPERLINK("obsidian://open?vault=o2&amp;file=I%20Made%20an%20App%20that%20KEEPS%20Windows%2011%20Debloated%20%26%20Optimized.md","I Made an App that KEEPS Windows 11 Debloated &amp; Optimized")</f>
        <v>I Made an App that KEEPS Windows 11 Debloated &amp; Optimized</v>
      </c>
      <c r="P342" s="11" t="s">
        <v>175</v>
      </c>
      <c r="AF342" s="11">
        <f>SUBTOTAL(3,_xlfn.SINGLE(tbl_tags[RowId]))</f>
        <v>1</v>
      </c>
    </row>
    <row r="343" spans="5:32">
      <c r="E343" t="str">
        <f>IF(G343&lt;&gt;tbl_tags[[#This Row],[Tags]],"X","")</f>
        <v>X</v>
      </c>
      <c r="G343" s="259" t="s">
        <v>2546</v>
      </c>
      <c r="J343" s="4">
        <v>321</v>
      </c>
      <c r="K343" s="20" t="s">
        <v>2545</v>
      </c>
      <c r="L343" s="4">
        <v>1</v>
      </c>
      <c r="M343" s="21" t="str">
        <f>HYPERLINK("obsidian://open?vault=o2&amp;file=22%20FREE%20Windows%20Utilities%20EVERY%20User%20MUST%20Know%20About%21.md","22 FREE Windows Utilities EVERY User MUST Know About!")</f>
        <v>22 FREE Windows Utilities EVERY User MUST Know About!</v>
      </c>
      <c r="N343" s="11" t="s">
        <v>175</v>
      </c>
      <c r="AF343" s="11">
        <f>SUBTOTAL(3,_xlfn.SINGLE(tbl_tags[RowId]))</f>
        <v>1</v>
      </c>
    </row>
    <row r="344" spans="5:32">
      <c r="E344" t="str">
        <f>IF(G344&lt;&gt;tbl_tags[[#This Row],[Tags]],"X","")</f>
        <v>X</v>
      </c>
      <c r="G344" s="258" t="s">
        <v>2547</v>
      </c>
      <c r="J344" s="4">
        <v>322</v>
      </c>
      <c r="K344" s="20" t="s">
        <v>2546</v>
      </c>
      <c r="L344" s="4">
        <v>1</v>
      </c>
      <c r="M344" s="21" t="str">
        <f>HYPERLINK("obsidian://open?vault=o2&amp;file=I%20Made%20an%20App%20that%20KEEPS%20Windows%2011%20Debloated%20%26%20Optimized.md","I Made an App that KEEPS Windows 11 Debloated &amp; Optimized")</f>
        <v>I Made an App that KEEPS Windows 11 Debloated &amp; Optimized</v>
      </c>
      <c r="N344" s="11" t="s">
        <v>175</v>
      </c>
      <c r="AF344" s="11">
        <f>SUBTOTAL(3,_xlfn.SINGLE(tbl_tags[RowId]))</f>
        <v>1</v>
      </c>
    </row>
    <row r="345" spans="5:32">
      <c r="E345" t="str">
        <f>IF(G345&lt;&gt;tbl_tags[[#This Row],[Tags]],"X","")</f>
        <v>X</v>
      </c>
      <c r="G345" s="259" t="s">
        <v>2548</v>
      </c>
      <c r="J345" s="4">
        <v>323</v>
      </c>
      <c r="K345" s="20" t="s">
        <v>2547</v>
      </c>
      <c r="L345" s="4">
        <v>2</v>
      </c>
      <c r="M345" s="21" t="str">
        <f>HYPERLINK("obsidian://open?vault=o2&amp;file=Secure%20Remote%20Access.md","Secure Remote Access")</f>
        <v>Secure Remote Access</v>
      </c>
      <c r="N345" s="11" t="s">
        <v>175</v>
      </c>
      <c r="O345" s="21" t="str">
        <f>HYPERLINK("obsidian://open?vault=o2&amp;file=Setup%20Wireguard.md","Setup Wireguard")</f>
        <v>Setup Wireguard</v>
      </c>
      <c r="P345" s="11" t="s">
        <v>175</v>
      </c>
      <c r="AF345" s="11">
        <f>SUBTOTAL(3,_xlfn.SINGLE(tbl_tags[RowId]))</f>
        <v>1</v>
      </c>
    </row>
    <row r="346" spans="5:32">
      <c r="E346" t="str">
        <f>IF(G346&lt;&gt;tbl_tags[[#This Row],[Tags]],"X","")</f>
        <v>X</v>
      </c>
      <c r="G346" s="258" t="s">
        <v>2549</v>
      </c>
      <c r="J346" s="4">
        <v>324</v>
      </c>
      <c r="K346" s="20" t="s">
        <v>2548</v>
      </c>
      <c r="L346" s="4">
        <v>1</v>
      </c>
      <c r="M346" s="21" t="str">
        <f>HYPERLINK("obsidian://open?vault=o2&amp;file=Google%20Dorks%202025.md","Google Dorks 2025")</f>
        <v>Google Dorks 2025</v>
      </c>
      <c r="N346" s="11" t="s">
        <v>175</v>
      </c>
      <c r="AF346" s="11">
        <f>SUBTOTAL(3,_xlfn.SINGLE(tbl_tags[RowId]))</f>
        <v>1</v>
      </c>
    </row>
    <row r="347" spans="5:32">
      <c r="E347" t="str">
        <f>IF(G347&lt;&gt;tbl_tags[[#This Row],[Tags]],"X","")</f>
        <v>X</v>
      </c>
      <c r="G347" s="259" t="s">
        <v>2550</v>
      </c>
      <c r="J347" s="4">
        <v>325</v>
      </c>
      <c r="K347" s="20" t="s">
        <v>2549</v>
      </c>
      <c r="L347" s="4">
        <v>1</v>
      </c>
      <c r="M347" s="21" t="str">
        <f>HYPERLINK("obsidian://open?vault=o2&amp;file=Setup%20MariaDB%20and%20Wordpress.md","Setup MariaDB and Wordpress")</f>
        <v>Setup MariaDB and Wordpress</v>
      </c>
      <c r="N347" s="11" t="s">
        <v>175</v>
      </c>
      <c r="AF347" s="11">
        <f>SUBTOTAL(3,_xlfn.SINGLE(tbl_tags[RowId]))</f>
        <v>1</v>
      </c>
    </row>
    <row r="348" spans="5:32">
      <c r="E348" t="str">
        <f>IF(G348&lt;&gt;tbl_tags[[#This Row],[Tags]],"X","")</f>
        <v>X</v>
      </c>
      <c r="G348" s="258" t="s">
        <v>2551</v>
      </c>
      <c r="J348" s="4">
        <v>326</v>
      </c>
      <c r="K348" s="20" t="s">
        <v>2550</v>
      </c>
      <c r="L348" s="4">
        <v>1</v>
      </c>
      <c r="M348" s="21" t="str">
        <f>HYPERLINK("obsidian://open?vault=o2&amp;file=%F0%9F%93%A5%20My%20Inputs%20Workflow.md","📥 My Inputs Workflow")</f>
        <v>📥 My Inputs Workflow</v>
      </c>
      <c r="N348" s="11" t="s">
        <v>175</v>
      </c>
      <c r="AF348" s="11">
        <f>SUBTOTAL(3,_xlfn.SINGLE(tbl_tags[RowId]))</f>
        <v>1</v>
      </c>
    </row>
    <row r="349" spans="5:32">
      <c r="E349" t="str">
        <f>IF(G349&lt;&gt;tbl_tags[[#This Row],[Tags]],"X","")</f>
        <v>X</v>
      </c>
      <c r="G349" s="259" t="s">
        <v>2552</v>
      </c>
      <c r="J349" s="4">
        <v>327</v>
      </c>
      <c r="K349" s="20" t="s">
        <v>2551</v>
      </c>
      <c r="L349" s="4">
        <v>4</v>
      </c>
      <c r="M349" s="21" t="str">
        <f>HYPERLINK("obsidian://open?vault=o2&amp;file=Eveline.md","Eveline")</f>
        <v>Eveline</v>
      </c>
      <c r="N349" s="11" t="s">
        <v>175</v>
      </c>
      <c r="O349" s="21" t="str">
        <f>HYPERLINK("obsidian://open?vault=o2&amp;file=Draft%20Notes%20for%20Poetry.md","Draft Notes for Poetry")</f>
        <v>Draft Notes for Poetry</v>
      </c>
      <c r="P349" s="11" t="s">
        <v>175</v>
      </c>
      <c r="Q349" s="21" t="str">
        <f>HYPERLINK("obsidian://open?vault=o2&amp;file=Bike%20Donations%20Flyer.md","Bike Donations Flyer")</f>
        <v>Bike Donations Flyer</v>
      </c>
      <c r="R349" s="11" t="s">
        <v>175</v>
      </c>
      <c r="S349" s="21" t="str">
        <f>HYPERLINK("obsidian://open?vault=o2&amp;file=Kurt%20Vonnegut%E2%80%99s%20Greatest%20Writing%20Advice.md","Kurt Vonnegut’s Greatest Writing Advice")</f>
        <v>Kurt Vonnegut’s Greatest Writing Advice</v>
      </c>
      <c r="T349" s="11" t="s">
        <v>175</v>
      </c>
      <c r="AF349" s="11">
        <f>SUBTOTAL(3,_xlfn.SINGLE(tbl_tags[RowId]))</f>
        <v>1</v>
      </c>
    </row>
    <row r="350" spans="5:32">
      <c r="E350" t="str">
        <f>IF(G350&lt;&gt;tbl_tags[[#This Row],[Tags]],"X","")</f>
        <v>X</v>
      </c>
      <c r="G350" s="258" t="s">
        <v>2553</v>
      </c>
      <c r="J350" s="4">
        <v>328</v>
      </c>
      <c r="K350" s="20" t="s">
        <v>2552</v>
      </c>
      <c r="L350" s="4">
        <v>1</v>
      </c>
      <c r="M350" s="21" t="str">
        <f>HYPERLINK("obsidian://open?vault=o2&amp;file=Wikipedia%20Portal%20Literature.md","Wikipedia Portal Literature")</f>
        <v>Wikipedia Portal Literature</v>
      </c>
      <c r="N350" s="11" t="s">
        <v>175</v>
      </c>
      <c r="AF350" s="11">
        <f>SUBTOTAL(3,_xlfn.SINGLE(tbl_tags[RowId]))</f>
        <v>1</v>
      </c>
    </row>
    <row r="351" spans="5:32">
      <c r="E351" t="str">
        <f>IF(G351&lt;&gt;tbl_tags[[#This Row],[Tags]],"X","")</f>
        <v>X</v>
      </c>
      <c r="G351" s="259" t="s">
        <v>2554</v>
      </c>
      <c r="J351" s="4">
        <v>329</v>
      </c>
      <c r="K351" s="20" t="s">
        <v>2553</v>
      </c>
      <c r="L351" s="4">
        <v>1</v>
      </c>
      <c r="M351" s="21" t="str">
        <f>HYPERLINK("obsidian://open?vault=o2&amp;file=Wikipedia%20Portal%20Literature.md","Wikipedia Portal Literature")</f>
        <v>Wikipedia Portal Literature</v>
      </c>
      <c r="N351" s="11" t="s">
        <v>175</v>
      </c>
      <c r="AF351" s="11">
        <f>SUBTOTAL(3,_xlfn.SINGLE(tbl_tags[RowId]))</f>
        <v>1</v>
      </c>
    </row>
    <row r="352" spans="5:32">
      <c r="E352" t="str">
        <f>IF(G352&lt;&gt;tbl_tags[[#This Row],[Tags]],"X","")</f>
        <v>X</v>
      </c>
      <c r="G352" s="258" t="s">
        <v>2555</v>
      </c>
      <c r="J352" s="4">
        <v>330</v>
      </c>
      <c r="K352" s="20" t="s">
        <v>2554</v>
      </c>
      <c r="L352" s="4">
        <v>1</v>
      </c>
      <c r="M352" s="21" t="str">
        <f>HYPERLINK("obsidian://open?vault=o2&amp;file=%E2%9A%A1%20Build%20118th%20Congress%20Spreadsheet.md","⚡ Build 118th Congress Spreadsheet")</f>
        <v>⚡ Build 118th Congress Spreadsheet</v>
      </c>
      <c r="N352" s="11" t="s">
        <v>175</v>
      </c>
      <c r="AF352" s="11">
        <f>SUBTOTAL(3,_xlfn.SINGLE(tbl_tags[RowId]))</f>
        <v>1</v>
      </c>
    </row>
    <row r="353" spans="5:32">
      <c r="E353" t="str">
        <f>IF(G353&lt;&gt;tbl_tags[[#This Row],[Tags]],"X","")</f>
        <v>X</v>
      </c>
      <c r="G353" s="259" t="s">
        <v>2556</v>
      </c>
      <c r="J353" s="4">
        <v>331</v>
      </c>
      <c r="K353" s="20" t="s">
        <v>2555</v>
      </c>
      <c r="L353" s="4">
        <v>4</v>
      </c>
      <c r="M353" s="21" t="str">
        <f>HYPERLINK("obsidian://open?vault=o2&amp;file=%E2%9A%A1%20Build%20118th%20Congress%20Spreadsheet.md","⚡ Build 118th Congress Spreadsheet")</f>
        <v>⚡ Build 118th Congress Spreadsheet</v>
      </c>
      <c r="N353" s="11" t="s">
        <v>175</v>
      </c>
      <c r="O353" s="21" t="str">
        <f>HYPERLINK("obsidian://open?vault=o2&amp;file=%F0%9F%93%9A%20How%20To%20Take%20Smart%20Notes%20Application.md","📚 How To Take Smart Notes Application")</f>
        <v>📚 How To Take Smart Notes Application</v>
      </c>
      <c r="P353" s="11" t="s">
        <v>175</v>
      </c>
      <c r="Q353" s="21" t="str">
        <f>HYPERLINK("obsidian://open?vault=o2&amp;file=%F0%9F%93%9A%20Johns%20Building%20a%20Second%20Brain%20Application.md","📚 Johns Building a Second Brain Application")</f>
        <v>📚 Johns Building a Second Brain Application</v>
      </c>
      <c r="R353" s="11" t="s">
        <v>175</v>
      </c>
      <c r="S353" s="21" t="str">
        <f>HYPERLINK("obsidian://open?vault=o2&amp;file=Book%20Application%20Template.md","Book Application Template")</f>
        <v>Book Application Template</v>
      </c>
      <c r="T353" s="11" t="s">
        <v>175</v>
      </c>
      <c r="AF353" s="11">
        <f>SUBTOTAL(3,_xlfn.SINGLE(tbl_tags[RowId]))</f>
        <v>1</v>
      </c>
    </row>
    <row r="354" spans="5:32">
      <c r="E354" t="str">
        <f>IF(G354&lt;&gt;tbl_tags[[#This Row],[Tags]],"X","")</f>
        <v>X</v>
      </c>
      <c r="G354" s="258" t="s">
        <v>2557</v>
      </c>
      <c r="J354" s="4">
        <v>332</v>
      </c>
      <c r="K354" s="20" t="s">
        <v>2556</v>
      </c>
      <c r="L354" s="4">
        <v>1</v>
      </c>
      <c r="M354" s="21" t="str">
        <f>HYPERLINK("obsidian://open?vault=o2&amp;file=Bletchley%20Park%20interviews%20with%20IJ%20Good%20and%20Mickey.md","Bletchley Park interviews with IJ Good and Mickey")</f>
        <v>Bletchley Park interviews with IJ Good and Mickey</v>
      </c>
      <c r="N354" s="11" t="s">
        <v>175</v>
      </c>
      <c r="AF354" s="11">
        <f>SUBTOTAL(3,_xlfn.SINGLE(tbl_tags[RowId]))</f>
        <v>1</v>
      </c>
    </row>
    <row r="355" spans="5:32">
      <c r="E355" t="str">
        <f>IF(G355&lt;&gt;tbl_tags[[#This Row],[Tags]],"X","")</f>
        <v>X</v>
      </c>
      <c r="G355" s="259" t="s">
        <v>2558</v>
      </c>
      <c r="J355" s="4">
        <v>333</v>
      </c>
      <c r="K355" s="20" t="s">
        <v>2557</v>
      </c>
      <c r="L355" s="4">
        <v>1</v>
      </c>
      <c r="M355" s="21" t="str">
        <f>HYPERLINK("obsidian://open?vault=o2&amp;file=2025-01-27.md","2025-01-27")</f>
        <v>2025-01-27</v>
      </c>
      <c r="N355" s="11" t="s">
        <v>175</v>
      </c>
      <c r="AF355" s="11">
        <f>SUBTOTAL(3,_xlfn.SINGLE(tbl_tags[RowId]))</f>
        <v>1</v>
      </c>
    </row>
    <row r="356" spans="5:32">
      <c r="E356" t="str">
        <f>IF(G356&lt;&gt;tbl_tags[[#This Row],[Tags]],"X","")</f>
        <v>X</v>
      </c>
      <c r="G356" s="258" t="s">
        <v>952</v>
      </c>
      <c r="J356" s="4">
        <v>334</v>
      </c>
      <c r="K356" s="20" t="s">
        <v>2558</v>
      </c>
      <c r="L356" s="4">
        <v>1</v>
      </c>
      <c r="M356"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356" s="11" t="s">
        <v>175</v>
      </c>
      <c r="AF356" s="11">
        <f>SUBTOTAL(3,_xlfn.SINGLE(tbl_tags[RowId]))</f>
        <v>1</v>
      </c>
    </row>
    <row r="357" spans="5:32">
      <c r="E357" t="str">
        <f>IF(G357&lt;&gt;tbl_tags[[#This Row],[Tags]],"X","")</f>
        <v>X</v>
      </c>
      <c r="G357" s="259" t="s">
        <v>2568</v>
      </c>
      <c r="J357" s="4">
        <v>335</v>
      </c>
      <c r="K357" s="20" t="s">
        <v>952</v>
      </c>
      <c r="L357" s="4">
        <v>1</v>
      </c>
      <c r="M357" s="21" t="str">
        <f>HYPERLINK("obsidian://open?vault=o2&amp;file=YTV%20Template.md","YTV Template")</f>
        <v>YTV Template</v>
      </c>
      <c r="N357" s="11" t="s">
        <v>175</v>
      </c>
      <c r="AF357" s="11">
        <f>SUBTOTAL(3,_xlfn.SINGLE(tbl_tags[RowId]))</f>
        <v>1</v>
      </c>
    </row>
    <row r="358" spans="5:32">
      <c r="E358" t="str">
        <f>IF(G358&lt;&gt;tbl_tags[[#This Row],[Tags]],"X","")</f>
        <v>X</v>
      </c>
      <c r="G358" s="258" t="s">
        <v>2569</v>
      </c>
      <c r="J358" s="4">
        <v>348</v>
      </c>
      <c r="K358" s="20" t="s">
        <v>2568</v>
      </c>
      <c r="L358" s="4">
        <v>1</v>
      </c>
      <c r="M358" s="21" t="str">
        <f>HYPERLINK("obsidian://open?vault=o2&amp;file=%E2%99%BB%EF%B8%8F%20My%20Habits.md","♻️ My Habits")</f>
        <v>♻️ My Habits</v>
      </c>
      <c r="N358" s="11" t="s">
        <v>175</v>
      </c>
      <c r="AF358" s="11">
        <f>SUBTOTAL(3,_xlfn.SINGLE(tbl_tags[RowId]))</f>
        <v>1</v>
      </c>
    </row>
    <row r="359" spans="5:32">
      <c r="E359" t="str">
        <f>IF(G359&lt;&gt;tbl_tags[[#This Row],[Tags]],"X","")</f>
        <v>X</v>
      </c>
      <c r="G359" s="259" t="s">
        <v>2570</v>
      </c>
      <c r="J359" s="4">
        <v>349</v>
      </c>
      <c r="K359" s="20" t="s">
        <v>2569</v>
      </c>
      <c r="L359" s="4">
        <v>4</v>
      </c>
      <c r="M359" s="21" t="str">
        <f>HYPERLINK("obsidian://open?vault=o2&amp;file=20%20AMAZING%20Art%20Workspace%20Hacks%20%28FREE%20or%20cheap%21%29.md","20 AMAZING Art Workspace Hacks (FREE or cheap!)")</f>
        <v>20 AMAZING Art Workspace Hacks (FREE or cheap!)</v>
      </c>
      <c r="N359" s="11" t="s">
        <v>175</v>
      </c>
      <c r="O359" s="21" t="str">
        <f>HYPERLINK("obsidian://open?vault=o2&amp;file=Flat%20Icon%20and%20Shadow%20Using%20The%20Blend%20Tool%20In%20Adobe%20Illustrator.md","Flat Icon and Shadow Using The Blend Tool In Adobe Illustrator")</f>
        <v>Flat Icon and Shadow Using The Blend Tool In Adobe Illustrator</v>
      </c>
      <c r="P359" s="11" t="s">
        <v>175</v>
      </c>
      <c r="Q359"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R359" s="11" t="s">
        <v>175</v>
      </c>
      <c r="S359" s="21" t="str">
        <f>HYPERLINK("obsidian://open?vault=o2&amp;file=The%20Perfect%20Diane%20Sauce%20-%20Chicken%20Diane%20%20Chef%20Jean-Pierre.md","The Perfect Diane Sauce - Chicken Diane  Chef Jean-Pierre")</f>
        <v>The Perfect Diane Sauce - Chicken Diane  Chef Jean-Pierre</v>
      </c>
      <c r="T359" s="11" t="s">
        <v>175</v>
      </c>
      <c r="AF359" s="11">
        <f>SUBTOTAL(3,_xlfn.SINGLE(tbl_tags[RowId]))</f>
        <v>1</v>
      </c>
    </row>
    <row r="360" spans="5:32">
      <c r="E360" t="str">
        <f>IF(G360&lt;&gt;tbl_tags[[#This Row],[Tags]],"X","")</f>
        <v>X</v>
      </c>
      <c r="G360" s="258" t="s">
        <v>1948</v>
      </c>
      <c r="J360" s="4">
        <v>350</v>
      </c>
      <c r="K360" s="20" t="s">
        <v>2570</v>
      </c>
      <c r="L360" s="4">
        <v>1</v>
      </c>
      <c r="M360" s="21" t="str">
        <f>HYPERLINK("obsidian://open?vault=o2&amp;file=%F0%9F%92%A1%20Rebirth%20CWS.md","💡 Rebirth CWS")</f>
        <v>💡 Rebirth CWS</v>
      </c>
      <c r="N360" s="11" t="s">
        <v>175</v>
      </c>
      <c r="AF360" s="11">
        <f>SUBTOTAL(3,_xlfn.SINGLE(tbl_tags[RowId]))</f>
        <v>1</v>
      </c>
    </row>
    <row r="361" spans="5:32">
      <c r="E361" t="str">
        <f>IF(G361&lt;&gt;tbl_tags[[#This Row],[Tags]],"X","")</f>
        <v>X</v>
      </c>
      <c r="G361" s="259" t="s">
        <v>1950</v>
      </c>
      <c r="J361" s="4">
        <v>351</v>
      </c>
      <c r="K361" s="20" t="s">
        <v>1948</v>
      </c>
      <c r="L361" s="4">
        <v>1</v>
      </c>
      <c r="M361" s="21" t="str">
        <f>HYPERLINK("obsidian://open?vault=o2&amp;file=%F0%9F%92%A1%20New%20Obsidian%20Video.md","💡 New Obsidian Video")</f>
        <v>💡 New Obsidian Video</v>
      </c>
      <c r="N361" s="11" t="s">
        <v>175</v>
      </c>
      <c r="AF361" s="11">
        <f>SUBTOTAL(3,_xlfn.SINGLE(tbl_tags[RowId]))</f>
        <v>1</v>
      </c>
    </row>
    <row r="362" spans="5:32">
      <c r="E362" t="str">
        <f>IF(G362&lt;&gt;tbl_tags[[#This Row],[Tags]],"X","")</f>
        <v>X</v>
      </c>
      <c r="G362" s="258" t="s">
        <v>1952</v>
      </c>
      <c r="J362" s="4">
        <v>352</v>
      </c>
      <c r="K362" s="20" t="s">
        <v>1950</v>
      </c>
      <c r="L362" s="4">
        <v>11</v>
      </c>
      <c r="M362" s="21" t="str">
        <f>HYPERLINK("obsidian://open?vault=o2&amp;file=incl_yaml.md","incl_yaml")</f>
        <v>incl_yaml</v>
      </c>
      <c r="N362" s="11" t="s">
        <v>175</v>
      </c>
      <c r="O362" s="21" t="str">
        <f>HYPERLINK("obsidian://open?vault=o2&amp;file=Template%20Debrief.md","Template Debrief")</f>
        <v>Template Debrief</v>
      </c>
      <c r="P362" s="11" t="s">
        <v>175</v>
      </c>
      <c r="Q362" s="21" t="str">
        <f>HYPERLINK("obsidian://open?vault=o2&amp;file=Template%20Explanations.md","Template Explanations")</f>
        <v>Template Explanations</v>
      </c>
      <c r="R362" s="11" t="s">
        <v>175</v>
      </c>
      <c r="S362" s="21" t="str">
        <f>HYPERLINK("obsidian://open?vault=o2&amp;file=%F0%9F%92%A1%20AA%20Meeting%20Topics.md","💡 AA Meeting Topics")</f>
        <v>💡 AA Meeting Topics</v>
      </c>
      <c r="T362" s="11" t="s">
        <v>175</v>
      </c>
      <c r="U362" s="21" t="str">
        <f>HYPERLINK("obsidian://open?vault=o2&amp;file=%F0%9F%92%A1%20Create%20a%20JS%20tool%20to%20do%20scoped%20searches.md","💡 Create a JS tool to do scoped searches")</f>
        <v>💡 Create a JS tool to do scoped searches</v>
      </c>
      <c r="V362" s="11" t="s">
        <v>175</v>
      </c>
      <c r="W362" s="21" t="str">
        <f>HYPERLINK("obsidian://open?vault=o2&amp;file=%F0%9F%92%A1%20Idea%20to%20extend%20v_chk%20Wb%20Engine.md","💡 Idea to extend v_chk Wb Engine")</f>
        <v>💡 Idea to extend v_chk Wb Engine</v>
      </c>
      <c r="X362" s="11" t="s">
        <v>175</v>
      </c>
      <c r="Y362" s="21" t="str">
        <f>HYPERLINK("obsidian://open?vault=o2&amp;file=%F0%9F%92%A1%20Color%20Study%20for%20OpenPyXl%20and%20v_chk.md","💡 Color Study for OpenPyXl and v_chk")</f>
        <v>💡 Color Study for OpenPyXl and v_chk</v>
      </c>
      <c r="Z362" s="11" t="s">
        <v>175</v>
      </c>
      <c r="AA362" s="21" t="str">
        <f>HYPERLINK("obsidian://open?vault=o2&amp;file=%F0%9F%92%A1%20Poetry%20Ideas.md","💡 Poetry Ideas")</f>
        <v>💡 Poetry Ideas</v>
      </c>
      <c r="AB362" s="11" t="s">
        <v>175</v>
      </c>
      <c r="AC362" s="21" t="str">
        <f>HYPERLINK("obsidian://open?vault=o2&amp;file=Brainstorming%20Template.md","Brainstorming Template")</f>
        <v>Brainstorming Template</v>
      </c>
      <c r="AD362" s="11" t="s">
        <v>175</v>
      </c>
      <c r="AE362" s="21" t="str">
        <f>HYPERLINK("obsidian://open?vault=o2&amp;file=Book%20Application%20Template.md","Book Application Template")</f>
        <v>Book Application Template</v>
      </c>
      <c r="AF362" s="11">
        <f>SUBTOTAL(3,_xlfn.SINGLE(tbl_tags[RowId]))</f>
        <v>1</v>
      </c>
    </row>
    <row r="363" spans="5:32">
      <c r="E363" t="str">
        <f>IF(G363&lt;&gt;tbl_tags[[#This Row],[Tags]],"X","")</f>
        <v>X</v>
      </c>
      <c r="G363" s="259" t="s">
        <v>2571</v>
      </c>
      <c r="J363" s="4">
        <v>353</v>
      </c>
      <c r="K363" s="20" t="s">
        <v>1952</v>
      </c>
      <c r="L363" s="4">
        <v>3</v>
      </c>
      <c r="M363" s="21" t="str">
        <f>HYPERLINK("obsidian://open?vault=o2&amp;file=Glossary.md","Glossary")</f>
        <v>Glossary</v>
      </c>
      <c r="N363" s="11" t="s">
        <v>175</v>
      </c>
      <c r="O363" s="21" t="str">
        <f>HYPERLINK("obsidian://open?vault=o2&amp;file=%F0%9F%92%A1%20Youtube%20and%20long%20title%20note%20automation.md","💡 Youtube and long title note automation")</f>
        <v>💡 Youtube and long title note automation</v>
      </c>
      <c r="P363" s="11" t="s">
        <v>175</v>
      </c>
      <c r="Q363" s="21" t="str">
        <f>HYPERLINK("obsidian://open?vault=o2&amp;file=Bike%20Donations%20Flyer.md","Bike Donations Flyer")</f>
        <v>Bike Donations Flyer</v>
      </c>
      <c r="R363" s="11" t="s">
        <v>175</v>
      </c>
      <c r="AF363" s="11">
        <f>SUBTOTAL(3,_xlfn.SINGLE(tbl_tags[RowId]))</f>
        <v>1</v>
      </c>
    </row>
    <row r="364" spans="5:32">
      <c r="E364" t="str">
        <f>IF(G364&lt;&gt;tbl_tags[[#This Row],[Tags]],"X","")</f>
        <v>X</v>
      </c>
      <c r="G364" s="258" t="s">
        <v>2572</v>
      </c>
      <c r="J364" s="4">
        <v>354</v>
      </c>
      <c r="K364" s="20" t="s">
        <v>2571</v>
      </c>
      <c r="L364" s="4">
        <v>2</v>
      </c>
      <c r="M364" s="21" t="str">
        <f>HYPERLINK("obsidian://open?vault=o2&amp;file=incl_yaml.md","incl_yaml")</f>
        <v>incl_yaml</v>
      </c>
      <c r="N364" s="11" t="s">
        <v>175</v>
      </c>
      <c r="O364" s="21" t="str">
        <f>HYPERLINK("obsidian://open?vault=o2&amp;file=Book%20Application%20Template.md","Book Application Template")</f>
        <v>Book Application Template</v>
      </c>
      <c r="P364" s="11" t="s">
        <v>175</v>
      </c>
      <c r="AF364" s="11">
        <f>SUBTOTAL(3,_xlfn.SINGLE(tbl_tags[RowId]))</f>
        <v>1</v>
      </c>
    </row>
    <row r="365" spans="5:32">
      <c r="E365" t="str">
        <f>IF(G365&lt;&gt;tbl_tags[[#This Row],[Tags]],"X","")</f>
        <v>X</v>
      </c>
      <c r="G365" s="259" t="s">
        <v>2573</v>
      </c>
      <c r="J365" s="4">
        <v>355</v>
      </c>
      <c r="K365" s="20" t="s">
        <v>2572</v>
      </c>
      <c r="L365" s="4">
        <v>48</v>
      </c>
      <c r="M365" s="21" t="str">
        <f>HYPERLINK("obsidian://open?vault=o2&amp;file=2025-04-03.md","2025-04-03")</f>
        <v>2025-04-03</v>
      </c>
      <c r="N365" s="11" t="s">
        <v>175</v>
      </c>
      <c r="O365" s="21" t="str">
        <f>HYPERLINK("obsidian://open?vault=o2&amp;file=2025-02-11.md","2025-02-11")</f>
        <v>2025-02-11</v>
      </c>
      <c r="P365" s="11" t="s">
        <v>175</v>
      </c>
      <c r="Q365" s="21" t="str">
        <f>HYPERLINK("obsidian://open?vault=o2&amp;file=2025-02-13.md","2025-02-13")</f>
        <v>2025-02-13</v>
      </c>
      <c r="R365" s="11" t="s">
        <v>175</v>
      </c>
      <c r="S365" s="21" t="str">
        <f>HYPERLINK("obsidian://open?vault=o2&amp;file=2025-02-14.md","2025-02-14")</f>
        <v>2025-02-14</v>
      </c>
      <c r="T365" s="11" t="s">
        <v>175</v>
      </c>
      <c r="U365" s="21" t="str">
        <f>HYPERLINK("obsidian://open?vault=o2&amp;file=2025-02-15.md","2025-02-15")</f>
        <v>2025-02-15</v>
      </c>
      <c r="V365" s="11" t="s">
        <v>175</v>
      </c>
      <c r="W365" s="21" t="str">
        <f>HYPERLINK("obsidian://open?vault=o2&amp;file=2025-02-16.md","2025-02-16")</f>
        <v>2025-02-16</v>
      </c>
      <c r="X365" s="11" t="s">
        <v>175</v>
      </c>
      <c r="Y365" s="21" t="str">
        <f>HYPERLINK("obsidian://open?vault=o2&amp;file=2025-02-17.md","2025-02-17")</f>
        <v>2025-02-17</v>
      </c>
      <c r="Z365" s="11" t="s">
        <v>175</v>
      </c>
      <c r="AA365" s="21" t="str">
        <f>HYPERLINK("obsidian://open?vault=o2&amp;file=2025-02-18.md","2025-02-18")</f>
        <v>2025-02-18</v>
      </c>
      <c r="AB365" s="11" t="s">
        <v>175</v>
      </c>
      <c r="AC365" s="21" t="str">
        <f>HYPERLINK("obsidian://open?vault=o2&amp;file=2025-02-19.md","2025-02-19")</f>
        <v>2025-02-19</v>
      </c>
      <c r="AD365" s="11" t="s">
        <v>175</v>
      </c>
      <c r="AE365" s="21" t="str">
        <f>HYPERLINK("obsidian://open?vault=o2&amp;file=2025-02-20.md","2025-02-20")</f>
        <v>2025-02-20</v>
      </c>
      <c r="AF365" s="11">
        <f>SUBTOTAL(3,_xlfn.SINGLE(tbl_tags[RowId]))</f>
        <v>1</v>
      </c>
    </row>
    <row r="366" spans="5:32">
      <c r="E366" t="str">
        <f>IF(G366&lt;&gt;tbl_tags[[#This Row],[Tags]],"X","")</f>
        <v>X</v>
      </c>
      <c r="G366" s="258" t="s">
        <v>1956</v>
      </c>
      <c r="J366" s="4">
        <v>356</v>
      </c>
      <c r="K366" s="20" t="s">
        <v>2573</v>
      </c>
      <c r="L366" s="4">
        <v>1</v>
      </c>
      <c r="M366" s="21" t="str">
        <f>HYPERLINK("obsidian://open?vault=o2&amp;file=My%20PARA.md","My PARA")</f>
        <v>My PARA</v>
      </c>
      <c r="N366" s="11" t="s">
        <v>175</v>
      </c>
      <c r="AF366" s="11">
        <f>SUBTOTAL(3,_xlfn.SINGLE(tbl_tags[RowId]))</f>
        <v>1</v>
      </c>
    </row>
    <row r="367" spans="5:32">
      <c r="E367" t="str">
        <f>IF(G367&lt;&gt;tbl_tags[[#This Row],[Tags]],"X","")</f>
        <v>X</v>
      </c>
      <c r="G367" s="259" t="s">
        <v>1958</v>
      </c>
      <c r="J367" s="4">
        <v>357</v>
      </c>
      <c r="K367" s="20" t="s">
        <v>1956</v>
      </c>
      <c r="L367" s="4">
        <v>4</v>
      </c>
      <c r="M367" s="21" t="str">
        <f>HYPERLINK("obsidian://open?vault=o2&amp;file=incl_yaml.md","incl_yaml")</f>
        <v>incl_yaml</v>
      </c>
      <c r="N367" s="11" t="s">
        <v>175</v>
      </c>
      <c r="O367" s="21" t="str">
        <f>HYPERLINK("obsidian://open?vault=o2&amp;file=Template%20Debrief.md","Template Debrief")</f>
        <v>Template Debrief</v>
      </c>
      <c r="P367" s="11" t="s">
        <v>175</v>
      </c>
      <c r="Q367" s="21" t="str">
        <f>HYPERLINK("obsidian://open?vault=o2&amp;file=Template%20Explanations.md","Template Explanations")</f>
        <v>Template Explanations</v>
      </c>
      <c r="R367" s="11" t="s">
        <v>175</v>
      </c>
      <c r="S367" s="21" t="str">
        <f>HYPERLINK("obsidian://open?vault=o2&amp;file=Book%20Application%20Template.md","Book Application Template")</f>
        <v>Book Application Template</v>
      </c>
      <c r="T367" s="11" t="s">
        <v>175</v>
      </c>
      <c r="AF367" s="11">
        <f>SUBTOTAL(3,_xlfn.SINGLE(tbl_tags[RowId]))</f>
        <v>1</v>
      </c>
    </row>
    <row r="368" spans="5:32">
      <c r="E368" t="str">
        <f>IF(G368&lt;&gt;tbl_tags[[#This Row],[Tags]],"X","")</f>
        <v>X</v>
      </c>
      <c r="G368" s="258" t="s">
        <v>1960</v>
      </c>
      <c r="J368" s="4">
        <v>358</v>
      </c>
      <c r="K368" s="20" t="s">
        <v>1958</v>
      </c>
      <c r="L368" s="4">
        <v>33</v>
      </c>
      <c r="M368" s="21" t="str">
        <f>HYPERLINK("obsidian://open?vault=o2&amp;file=50%20Best%20Christmas%20Movies.md","50 Best Christmas Movies")</f>
        <v>50 Best Christmas Movies</v>
      </c>
      <c r="N368" s="11" t="s">
        <v>175</v>
      </c>
      <c r="O368" s="21" t="str">
        <f>HYPERLINK("obsidian://open?vault=o2&amp;file=Business%20Name%20OSINT.md","Business Name OSINT")</f>
        <v>Business Name OSINT</v>
      </c>
      <c r="P368" s="11" t="s">
        <v>175</v>
      </c>
      <c r="Q368" s="21" t="str">
        <f>HYPERLINK("obsidian://open?vault=o2&amp;file=Colonoscopy%20Notes.md","Colonoscopy Notes")</f>
        <v>Colonoscopy Notes</v>
      </c>
      <c r="R368" s="11" t="s">
        <v>175</v>
      </c>
      <c r="S368" s="21" t="str">
        <f>HYPERLINK("obsidian://open?vault=o2&amp;file=Email%20Address%20OSINT.md","Email Address OSINT")</f>
        <v>Email Address OSINT</v>
      </c>
      <c r="T368" s="11" t="s">
        <v>175</v>
      </c>
      <c r="U368" s="21" t="str">
        <f>HYPERLINK("obsidian://open?vault=o2&amp;file=Make%20file%20metadata%20and%20properties%20separate%20concepts.md","Make file metadata and properties separate concepts")</f>
        <v>Make file metadata and properties separate concepts</v>
      </c>
      <c r="V368" s="11" t="s">
        <v>175</v>
      </c>
      <c r="W368" s="21" t="str">
        <f>HYPERLINK("obsidian://open?vault=o2&amp;file=Master%20OSINT%20Toolbox.md","Master OSINT Toolbox")</f>
        <v>Master OSINT Toolbox</v>
      </c>
      <c r="X368" s="11" t="s">
        <v>175</v>
      </c>
      <c r="Y368" s="21" t="str">
        <f>HYPERLINK("obsidian://open?vault=o2&amp;file=My%20Adobe%20CS5.5%20Notes.md","My Adobe CS5.5 Notes")</f>
        <v>My Adobe CS5.5 Notes</v>
      </c>
      <c r="Z368" s="11" t="s">
        <v>175</v>
      </c>
      <c r="AA368" s="21" t="str">
        <f>HYPERLINK("obsidian://open?vault=o2&amp;file=My%20Firefox%20Plugins-2024.md","My Firefox Plugins-2024")</f>
        <v>My Firefox Plugins-2024</v>
      </c>
      <c r="AB368" s="11" t="s">
        <v>175</v>
      </c>
      <c r="AC368" s="21" t="str">
        <f>HYPERLINK("obsidian://open?vault=o2&amp;file=My%20MediaMonkey%20Notes.md","My MediaMonkey Notes")</f>
        <v>My MediaMonkey Notes</v>
      </c>
      <c r="AD368" s="11" t="s">
        <v>175</v>
      </c>
      <c r="AE368" s="21" t="str">
        <f>HYPERLINK("obsidian://open?vault=o2&amp;file=Persons%20name%20OSINT.md","Persons name OSINT")</f>
        <v>Persons name OSINT</v>
      </c>
      <c r="AF368" s="11">
        <f>SUBTOTAL(3,_xlfn.SINGLE(tbl_tags[RowId]))</f>
        <v>1</v>
      </c>
    </row>
    <row r="369" spans="5:32">
      <c r="E369" t="str">
        <f>IF(G369&lt;&gt;tbl_tags[[#This Row],[Tags]],"X","")</f>
        <v>X</v>
      </c>
      <c r="G369" s="259" t="s">
        <v>1968</v>
      </c>
      <c r="J369" s="4">
        <v>359</v>
      </c>
      <c r="K369" s="20" t="s">
        <v>1960</v>
      </c>
      <c r="L369" s="4">
        <v>1</v>
      </c>
      <c r="M369" s="21" t="str">
        <f>HYPERLINK("obsidian://open?vault=o2&amp;file=My%20Medical%20Info.md","My Medical Info")</f>
        <v>My Medical Info</v>
      </c>
      <c r="N369" s="11" t="s">
        <v>175</v>
      </c>
      <c r="AF369" s="11">
        <f>SUBTOTAL(3,_xlfn.SINGLE(tbl_tags[RowId]))</f>
        <v>1</v>
      </c>
    </row>
    <row r="370" spans="5:32">
      <c r="E370" t="str">
        <f>IF(G370&lt;&gt;tbl_tags[[#This Row],[Tags]],"X","")</f>
        <v>X</v>
      </c>
      <c r="G370" s="258" t="s">
        <v>2574</v>
      </c>
      <c r="J370" s="4">
        <v>360</v>
      </c>
      <c r="K370" s="20" t="s">
        <v>1968</v>
      </c>
      <c r="L370" s="4">
        <v>3</v>
      </c>
      <c r="M370" s="21" t="str">
        <f>HYPERLINK("obsidian://open?vault=o2&amp;file=What%20is%20Thread%20and%20how%20will%20it%20help%20your%20smart%20home.md","What is Thread and how will it help your smart home")</f>
        <v>What is Thread and how will it help your smart home</v>
      </c>
      <c r="N370" s="11" t="s">
        <v>175</v>
      </c>
      <c r="O370" s="21" t="str">
        <f>HYPERLINK("obsidian://open?vault=o2&amp;file=22%20FREE%20Windows%20Utilities%20EVERY%20User%20MUST%20Know%20About%21.md","22 FREE Windows Utilities EVERY User MUST Know About!")</f>
        <v>22 FREE Windows Utilities EVERY User MUST Know About!</v>
      </c>
      <c r="P370" s="11" t="s">
        <v>175</v>
      </c>
      <c r="Q370" s="21" t="str">
        <f>HYPERLINK("obsidian://open?vault=o2&amp;file=I%20Made%20an%20App%20that%20KEEPS%20Windows%2011%20Debloated%20%26%20Optimized.md","I Made an App that KEEPS Windows 11 Debloated &amp; Optimized")</f>
        <v>I Made an App that KEEPS Windows 11 Debloated &amp; Optimized</v>
      </c>
      <c r="R370" s="11" t="s">
        <v>175</v>
      </c>
      <c r="AF370" s="11">
        <f>SUBTOTAL(3,_xlfn.SINGLE(tbl_tags[RowId]))</f>
        <v>1</v>
      </c>
    </row>
    <row r="371" spans="5:32">
      <c r="E371" t="str">
        <f>IF(G371&lt;&gt;tbl_tags[[#This Row],[Tags]],"X","")</f>
        <v>X</v>
      </c>
      <c r="G371" s="259" t="s">
        <v>2575</v>
      </c>
      <c r="J371" s="4">
        <v>361</v>
      </c>
      <c r="K371" s="20" t="s">
        <v>2574</v>
      </c>
      <c r="L371" s="4">
        <v>1</v>
      </c>
      <c r="M371" s="21" t="str">
        <f>HYPERLINK("obsidian://open?vault=o2&amp;file=YTV%20Template.md","YTV Template")</f>
        <v>YTV Template</v>
      </c>
      <c r="N371" s="11" t="s">
        <v>175</v>
      </c>
      <c r="AF371" s="11">
        <f>SUBTOTAL(3,_xlfn.SINGLE(tbl_tags[RowId]))</f>
        <v>1</v>
      </c>
    </row>
    <row r="372" spans="5:32">
      <c r="E372" t="str">
        <f>IF(G372&lt;&gt;tbl_tags[[#This Row],[Tags]],"X","")</f>
        <v>X</v>
      </c>
      <c r="G372" s="258" t="s">
        <v>2576</v>
      </c>
      <c r="J372" s="4">
        <v>362</v>
      </c>
      <c r="K372" s="20" t="s">
        <v>2575</v>
      </c>
      <c r="L372" s="4">
        <v>7</v>
      </c>
      <c r="M372" s="21" t="str">
        <f>HYPERLINK("obsidian://open?vault=o2&amp;file=%F0%9F%8C%9E%20My%20Greenhouse.md","🌞 My Greenhouse")</f>
        <v>🌞 My Greenhouse</v>
      </c>
      <c r="N372" s="11" t="s">
        <v>175</v>
      </c>
      <c r="O372" s="21" t="str">
        <f>HYPERLINK("obsidian://open?vault=o2&amp;file=%F0%9F%92%A1%20My%20Brainstorms.md","💡 My Brainstorms")</f>
        <v>💡 My Brainstorms</v>
      </c>
      <c r="P372" s="11" t="s">
        <v>175</v>
      </c>
      <c r="Q372" s="21" t="str">
        <f>HYPERLINK("obsidian://open?vault=o2&amp;file=%F0%9F%92%AD%20My%20Thoughts.md","💭 My Thoughts")</f>
        <v>💭 My Thoughts</v>
      </c>
      <c r="R372" s="11" t="s">
        <v>175</v>
      </c>
      <c r="S372" s="21" t="str">
        <f>HYPERLINK("obsidian://open?vault=o2&amp;file=%F0%9F%93%86%20My%20Periodic%20Reviews.md","📆 My Periodic Reviews")</f>
        <v>📆 My Periodic Reviews</v>
      </c>
      <c r="T372" s="11" t="s">
        <v>175</v>
      </c>
      <c r="U372" s="21" t="str">
        <f>HYPERLINK("obsidian://open?vault=o2&amp;file=%F0%9F%93%9A%20My%20Books.md","📚 My Books")</f>
        <v>📚 My Books</v>
      </c>
      <c r="V372" s="11" t="s">
        <v>175</v>
      </c>
      <c r="W372" s="21" t="str">
        <f>HYPERLINK("obsidian://open?vault=o2&amp;file=%F0%9F%93%A5%20My%20Inputs.md","📥 My Inputs")</f>
        <v>📥 My Inputs</v>
      </c>
      <c r="X372" s="11" t="s">
        <v>175</v>
      </c>
      <c r="Y372" s="21" t="str">
        <f>HYPERLINK("obsidian://open?vault=o2&amp;file=%F0%9F%93%8C%20My%20Kanbans.md","📌 My Kanbans")</f>
        <v>📌 My Kanbans</v>
      </c>
      <c r="Z372" s="11" t="s">
        <v>175</v>
      </c>
      <c r="AF372" s="11">
        <f>SUBTOTAL(3,_xlfn.SINGLE(tbl_tags[RowId]))</f>
        <v>1</v>
      </c>
    </row>
    <row r="373" spans="5:32">
      <c r="E373" t="str">
        <f>IF(G373&lt;&gt;tbl_tags[[#This Row],[Tags]],"X","")</f>
        <v>X</v>
      </c>
      <c r="G373" s="259" t="s">
        <v>2577</v>
      </c>
      <c r="J373" s="4">
        <v>363</v>
      </c>
      <c r="K373" s="20" t="s">
        <v>2576</v>
      </c>
      <c r="L373" s="4">
        <v>17</v>
      </c>
      <c r="M373" s="21" t="str">
        <f>HYPERLINK("obsidian://open?vault=o2&amp;file=Sample%20YAML.md","Sample YAML")</f>
        <v>Sample YAML</v>
      </c>
      <c r="N373" s="11" t="s">
        <v>175</v>
      </c>
      <c r="O373" s="21" t="str">
        <f>HYPERLINK("obsidian://open?vault=o2&amp;file=%E2%99%BB%EF%B8%8F%20My%20Habits.md","♻️ My Habits")</f>
        <v>♻️ My Habits</v>
      </c>
      <c r="P373" s="11" t="s">
        <v>175</v>
      </c>
      <c r="Q373" s="21" t="str">
        <f>HYPERLINK("obsidian://open?vault=o2&amp;file=%E2%9A%92%EF%B8%8F%20My%20Toolbox.md","⚒️ My Toolbox")</f>
        <v>⚒️ My Toolbox</v>
      </c>
      <c r="R373" s="11" t="s">
        <v>175</v>
      </c>
      <c r="S373" s="21" t="str">
        <f>HYPERLINK("obsidian://open?vault=o2&amp;file=%E2%9A%93%20My%20Areas.md","⚓ My Areas")</f>
        <v>⚓ My Areas</v>
      </c>
      <c r="T373" s="11" t="s">
        <v>175</v>
      </c>
      <c r="U373" s="21" t="str">
        <f>HYPERLINK("obsidian://open?vault=o2&amp;file=%F0%9F%8F%A0%20My%20Home.md","🏠 My Home")</f>
        <v>🏠 My Home</v>
      </c>
      <c r="V373" s="11" t="s">
        <v>175</v>
      </c>
      <c r="W373" s="21" t="str">
        <f>HYPERLINK("obsidian://open?vault=o2&amp;file=%F0%9F%97%BA%EF%B8%8F%20Cooking%20MOC.md","🗺️ Cooking MOC")</f>
        <v>🗺️ Cooking MOC</v>
      </c>
      <c r="X373" s="11" t="s">
        <v>175</v>
      </c>
      <c r="Y373" s="21" t="str">
        <f>HYPERLINK("obsidian://open?vault=o2&amp;file=%F0%9F%97%BA%EF%B8%8F%20Maps%20of%20Content%20%28MOC%29.md","🗺️ Maps of Content (MOC)")</f>
        <v>🗺️ Maps of Content (MOC)</v>
      </c>
      <c r="Z373" s="11" t="s">
        <v>175</v>
      </c>
      <c r="AA373" s="21" t="str">
        <f>HYPERLINK("obsidian://open?vault=o2&amp;file=%F0%9F%97%BA%EF%B8%8F%20My%20MOCs.md","🗺️ My MOCs")</f>
        <v>🗺️ My MOCs</v>
      </c>
      <c r="AB373" s="11" t="s">
        <v>175</v>
      </c>
      <c r="AC373" s="21" t="str">
        <f>HYPERLINK("obsidian://open?vault=o2&amp;file=%F0%9F%97%BA%EF%B8%8F%20My%20Tools%20MOC.md","🗺️ My Tools MOC")</f>
        <v>🗺️ My Tools MOC</v>
      </c>
      <c r="AD373" s="11" t="s">
        <v>175</v>
      </c>
      <c r="AE373" s="21" t="str">
        <f>HYPERLINK("obsidian://open?vault=o2&amp;file=%F0%9F%97%BA%EF%B8%8F%20Note%20Taking%20MOC.md","🗺️ Note Taking MOC")</f>
        <v>🗺️ Note Taking MOC</v>
      </c>
      <c r="AF373" s="11">
        <f>SUBTOTAL(3,_xlfn.SINGLE(tbl_tags[RowId]))</f>
        <v>1</v>
      </c>
    </row>
    <row r="374" spans="5:32">
      <c r="E374" t="str">
        <f>IF(G374&lt;&gt;tbl_tags[[#This Row],[Tags]],"X","")</f>
        <v>X</v>
      </c>
      <c r="G374" s="258" t="s">
        <v>2578</v>
      </c>
      <c r="J374" s="4">
        <v>364</v>
      </c>
      <c r="K374" s="20" t="s">
        <v>2577</v>
      </c>
      <c r="L374" s="4">
        <v>1</v>
      </c>
      <c r="M374" s="21" t="str">
        <f>HYPERLINK("obsidian://open?vault=o2&amp;file=Jokologue.md","Jokologue")</f>
        <v>Jokologue</v>
      </c>
      <c r="N374" s="11" t="s">
        <v>175</v>
      </c>
      <c r="AF374" s="11">
        <f>SUBTOTAL(3,_xlfn.SINGLE(tbl_tags[RowId]))</f>
        <v>1</v>
      </c>
    </row>
    <row r="375" spans="5:32">
      <c r="E375" t="str">
        <f>IF(G375&lt;&gt;tbl_tags[[#This Row],[Tags]],"X","")</f>
        <v>X</v>
      </c>
      <c r="G375" s="259" t="s">
        <v>2579</v>
      </c>
      <c r="J375" s="4">
        <v>365</v>
      </c>
      <c r="K375" s="20" t="s">
        <v>2578</v>
      </c>
      <c r="L375" s="4">
        <v>14</v>
      </c>
      <c r="M375" s="21" t="str">
        <f>HYPERLINK("obsidian://open?vault=o2&amp;file=2-Areas.md","2-Areas")</f>
        <v>2-Areas</v>
      </c>
      <c r="N375" s="11" t="s">
        <v>175</v>
      </c>
      <c r="O375" s="21" t="str">
        <f>HYPERLINK("obsidian://open?vault=o2&amp;file=%F0%9F%A6%8B%20Art.md","🦋 Art")</f>
        <v>🦋 Art</v>
      </c>
      <c r="P375" s="11" t="s">
        <v>175</v>
      </c>
      <c r="Q375" s="21" t="str">
        <f>HYPERLINK("obsidian://open?vault=o2&amp;file=%F0%9F%A6%8B%20Astronomy.md","🦋 Astronomy")</f>
        <v>🦋 Astronomy</v>
      </c>
      <c r="R375" s="11" t="s">
        <v>175</v>
      </c>
      <c r="S375" s="21" t="str">
        <f>HYPERLINK("obsidian://open?vault=o2&amp;file=%F0%9F%A6%8B%20Brain2.md","🦋 Brain2")</f>
        <v>🦋 Brain2</v>
      </c>
      <c r="T375" s="11" t="s">
        <v>175</v>
      </c>
      <c r="U375" s="21" t="str">
        <f>HYPERLINK("obsidian://open?vault=o2&amp;file=%F0%9F%A6%8B%20Cheatsheets.md","🦋 Cheatsheets")</f>
        <v>🦋 Cheatsheets</v>
      </c>
      <c r="V375" s="11" t="s">
        <v>175</v>
      </c>
      <c r="W375" s="21" t="str">
        <f>HYPERLINK("obsidian://open?vault=o2&amp;file=%F0%9F%A6%8B%20Coding.md","🦋 Coding")</f>
        <v>🦋 Coding</v>
      </c>
      <c r="X375" s="11" t="s">
        <v>175</v>
      </c>
      <c r="Y375" s="21" t="str">
        <f>HYPERLINK("obsidian://open?vault=o2&amp;file=%F0%9F%A6%8B%20Computers.md","🦋 Computers")</f>
        <v>🦋 Computers</v>
      </c>
      <c r="Z375" s="11" t="s">
        <v>175</v>
      </c>
      <c r="AA375" s="21" t="str">
        <f>HYPERLINK("obsidian://open?vault=o2&amp;file=%F0%9F%A6%8B%20Cooking.md","🦋 Cooking")</f>
        <v>🦋 Cooking</v>
      </c>
      <c r="AB375" s="11" t="s">
        <v>175</v>
      </c>
      <c r="AC375" s="21" t="str">
        <f>HYPERLINK("obsidian://open?vault=o2&amp;file=%F0%9F%A6%8B%20Design.md","🦋 Design")</f>
        <v>🦋 Design</v>
      </c>
      <c r="AD375" s="11" t="s">
        <v>175</v>
      </c>
      <c r="AE375" s="21" t="str">
        <f>HYPERLINK("obsidian://open?vault=o2&amp;file=%F0%9F%A6%8B%20Genealogy.md","🦋 Genealogy")</f>
        <v>🦋 Genealogy</v>
      </c>
      <c r="AF375" s="11">
        <f>SUBTOTAL(3,_xlfn.SINGLE(tbl_tags[RowId]))</f>
        <v>1</v>
      </c>
    </row>
    <row r="376" spans="5:32">
      <c r="E376" t="str">
        <f>IF(G376&lt;&gt;tbl_tags[[#This Row],[Tags]],"X","")</f>
        <v>X</v>
      </c>
      <c r="G376" s="258" t="s">
        <v>2580</v>
      </c>
      <c r="J376" s="4">
        <v>366</v>
      </c>
      <c r="K376" s="20" t="s">
        <v>2579</v>
      </c>
      <c r="L376" s="4">
        <v>28</v>
      </c>
      <c r="M376" s="21" t="str">
        <f>HYPERLINK("obsidian://open?vault=o2&amp;file=Colonoscopy%20Notes.md","Colonoscopy Notes")</f>
        <v>Colonoscopy Notes</v>
      </c>
      <c r="N376" s="11" t="s">
        <v>175</v>
      </c>
      <c r="O376" s="21" t="str">
        <f>HYPERLINK("obsidian://open?vault=o2&amp;file=Make%20file%20metadata%20and%20properties%20separate%20concepts.md","Make file metadata and properties separate concepts")</f>
        <v>Make file metadata and properties separate concepts</v>
      </c>
      <c r="P376" s="11" t="s">
        <v>175</v>
      </c>
      <c r="Q376" s="21" t="str">
        <f>HYPERLINK("obsidian://open?vault=o2&amp;file=My%20Adobe%20CS5.5%20Notes.md","My Adobe CS5.5 Notes")</f>
        <v>My Adobe CS5.5 Notes</v>
      </c>
      <c r="R376" s="11" t="s">
        <v>175</v>
      </c>
      <c r="S376" s="21" t="str">
        <f>HYPERLINK("obsidian://open?vault=o2&amp;file=My%20MediaMonkey%20Notes.md","My MediaMonkey Notes")</f>
        <v>My MediaMonkey Notes</v>
      </c>
      <c r="T376" s="11" t="s">
        <v>175</v>
      </c>
      <c r="U376" s="21" t="str">
        <f>HYPERLINK("obsidian://open?vault=o2&amp;file=Prism%20Mark%20Syntax%20for%20Colors.md","Prism Mark Syntax for Colors")</f>
        <v>Prism Mark Syntax for Colors</v>
      </c>
      <c r="V376" s="11" t="s">
        <v>175</v>
      </c>
      <c r="W376" s="21" t="str">
        <f>HYPERLINK("obsidian://open?vault=o2&amp;file=testTasklist.md","testTasklist")</f>
        <v>testTasklist</v>
      </c>
      <c r="X376" s="11" t="s">
        <v>175</v>
      </c>
      <c r="Y376" s="21" t="str">
        <f>HYPERLINK("obsidian://open?vault=o2&amp;file=Untitled.md","Untitled")</f>
        <v>Untitled</v>
      </c>
      <c r="Z376" s="11" t="s">
        <v>175</v>
      </c>
      <c r="AA376" s="21" t="str">
        <f>HYPERLINK("obsidian://open?vault=o2&amp;file=What%20I%20did%20to%20fix%20the%20BSOD%20on%20Boot.md","What I did to fix the BSOD on Boot")</f>
        <v>What I did to fix the BSOD on Boot</v>
      </c>
      <c r="AB376" s="11" t="s">
        <v>175</v>
      </c>
      <c r="AC376" s="21" t="str">
        <f>HYPERLINK("obsidian://open?vault=o2&amp;file=Rebuild%20PC.md","Rebuild PC")</f>
        <v>Rebuild PC</v>
      </c>
      <c r="AD376" s="11" t="s">
        <v>175</v>
      </c>
      <c r="AE376" s="21" t="str">
        <f>HYPERLINK("obsidian://open?vault=o2&amp;file=Image%20Categorization%20Project%20Definition.md","Image Categorization Project Definition")</f>
        <v>Image Categorization Project Definition</v>
      </c>
      <c r="AF376" s="11">
        <f>SUBTOTAL(3,_xlfn.SINGLE(tbl_tags[RowId]))</f>
        <v>1</v>
      </c>
    </row>
    <row r="377" spans="5:32">
      <c r="E377" t="str">
        <f>IF(G377&lt;&gt;tbl_tags[[#This Row],[Tags]],"X","")</f>
        <v>X</v>
      </c>
      <c r="G377" s="259" t="s">
        <v>2581</v>
      </c>
      <c r="J377" s="4">
        <v>367</v>
      </c>
      <c r="K377" s="20" t="s">
        <v>2580</v>
      </c>
      <c r="L377" s="4">
        <v>2</v>
      </c>
      <c r="M377" s="21" t="str">
        <f>HYPERLINK("obsidian://open?vault=o2&amp;file=How%20to%20Create%20So%20Much%20They%20Can%E2%80%99t%20Ignore%20You.md","How to Create So Much They Can’t Ignore You")</f>
        <v>How to Create So Much They Can’t Ignore You</v>
      </c>
      <c r="N377" s="11" t="s">
        <v>175</v>
      </c>
      <c r="O377" s="21" t="str">
        <f>HYPERLINK("obsidian://open?vault=o2&amp;file=%F0%9F%A6%8B%20Art.md","🦋 Art")</f>
        <v>🦋 Art</v>
      </c>
      <c r="P377" s="11" t="s">
        <v>175</v>
      </c>
      <c r="AF377" s="11">
        <f>SUBTOTAL(3,_xlfn.SINGLE(tbl_tags[RowId]))</f>
        <v>1</v>
      </c>
    </row>
    <row r="378" spans="5:32">
      <c r="E378" t="str">
        <f>IF(G378&lt;&gt;tbl_tags[[#This Row],[Tags]],"X","")</f>
        <v>X</v>
      </c>
      <c r="G378" s="258" t="s">
        <v>2582</v>
      </c>
      <c r="J378" s="4">
        <v>368</v>
      </c>
      <c r="K378" s="20" t="s">
        <v>2581</v>
      </c>
      <c r="L378" s="4">
        <v>1</v>
      </c>
      <c r="M378" s="21" t="str">
        <f>HYPERLINK("obsidian://open?vault=o2&amp;file=%F0%9F%A6%8B%20Astronomy.md","🦋 Astronomy")</f>
        <v>🦋 Astronomy</v>
      </c>
      <c r="N378" s="11" t="s">
        <v>175</v>
      </c>
      <c r="AF378" s="11">
        <f>SUBTOTAL(3,_xlfn.SINGLE(tbl_tags[RowId]))</f>
        <v>1</v>
      </c>
    </row>
    <row r="379" spans="5:32">
      <c r="E379" t="str">
        <f>IF(G379&lt;&gt;tbl_tags[[#This Row],[Tags]],"X","")</f>
        <v>X</v>
      </c>
      <c r="G379" s="259" t="s">
        <v>2583</v>
      </c>
      <c r="J379" s="4">
        <v>369</v>
      </c>
      <c r="K379" s="20" t="s">
        <v>2582</v>
      </c>
      <c r="L379" s="4">
        <v>20</v>
      </c>
      <c r="M379" s="21" t="str">
        <f>HYPERLINK("obsidian://open?vault=o2&amp;file=BISAC%20Book%20Classifications.md","BISAC Book Classifications")</f>
        <v>BISAC Book Classifications</v>
      </c>
      <c r="N379" s="11" t="s">
        <v>175</v>
      </c>
      <c r="O379" s="21" t="str">
        <f>HYPERLINK("obsidian://open?vault=o2&amp;file=Creating%20and%20tracking%20your%20own%20habits%20and%20statistics.md","Creating and tracking your own habits and statistics")</f>
        <v>Creating and tracking your own habits and statistics</v>
      </c>
      <c r="P379" s="11" t="s">
        <v>175</v>
      </c>
      <c r="Q379" s="21" t="str">
        <f>HYPERLINK("obsidian://open?vault=o2&amp;file=Managing%20and%20growing%20evergreen%20notes.md","Managing and growing evergreen notes")</f>
        <v>Managing and growing evergreen notes</v>
      </c>
      <c r="R379" s="11" t="s">
        <v>175</v>
      </c>
      <c r="S379" s="21" t="str">
        <f>HYPERLINK("obsidian://open?vault=o2&amp;file=Metadata%20Menu%20Community%20Plugin.md","Metadata Menu Community Plugin")</f>
        <v>Metadata Menu Community Plugin</v>
      </c>
      <c r="T379" s="11" t="s">
        <v>175</v>
      </c>
      <c r="U379" s="21" t="str">
        <f>HYPERLINK("obsidian://open?vault=o2&amp;file=Obsidian%20Community%20Plugins.md","Obsidian Community Plugins")</f>
        <v>Obsidian Community Plugins</v>
      </c>
      <c r="V379" s="11" t="s">
        <v>175</v>
      </c>
      <c r="W379" s="21" t="str">
        <f>HYPERLINK("obsidian://open?vault=o2&amp;file=Obsidian%20Tracker%20Plugin.md","Obsidian Tracker Plugin")</f>
        <v>Obsidian Tracker Plugin</v>
      </c>
      <c r="X379" s="11" t="s">
        <v>175</v>
      </c>
      <c r="Y379" s="21" t="str">
        <f>HYPERLINK("obsidian://open?vault=o2&amp;file=QuickAdd%20Plugin.md","QuickAdd Plugin")</f>
        <v>QuickAdd Plugin</v>
      </c>
      <c r="Z379" s="11" t="s">
        <v>175</v>
      </c>
      <c r="AA379" s="21" t="str">
        <f>HYPERLINK("obsidian://open?vault=o2&amp;file=Template%20Debrief.md","Template Debrief")</f>
        <v>Template Debrief</v>
      </c>
      <c r="AB379" s="11" t="s">
        <v>175</v>
      </c>
      <c r="AC379" s="21" t="str">
        <f>HYPERLINK("obsidian://open?vault=o2&amp;file=Template%20Explanations.md","Template Explanations")</f>
        <v>Template Explanations</v>
      </c>
      <c r="AD379" s="11" t="s">
        <v>175</v>
      </c>
      <c r="AE379" s="21" t="str">
        <f>HYPERLINK("obsidian://open?vault=o2&amp;file=%E2%9A%92%EF%B8%8F%20FUN%20-%20Frequently%20Used%20Notes.md","⚒️ FUN - Frequently Used Notes")</f>
        <v>⚒️ FUN - Frequently Used Notes</v>
      </c>
      <c r="AF379" s="11">
        <f>SUBTOTAL(3,_xlfn.SINGLE(tbl_tags[RowId]))</f>
        <v>1</v>
      </c>
    </row>
    <row r="380" spans="5:32">
      <c r="E380" t="str">
        <f>IF(G380&lt;&gt;tbl_tags[[#This Row],[Tags]],"X","")</f>
        <v>X</v>
      </c>
      <c r="G380" s="258" t="s">
        <v>2584</v>
      </c>
      <c r="J380" s="4">
        <v>370</v>
      </c>
      <c r="K380" s="20" t="s">
        <v>2583</v>
      </c>
      <c r="L380" s="4">
        <v>7</v>
      </c>
      <c r="M380" s="21" t="str">
        <f>HYPERLINK("obsidian://open?vault=o2&amp;file=BISAC%20Book%20Classifications.md","BISAC Book Classifications")</f>
        <v>BISAC Book Classifications</v>
      </c>
      <c r="N380" s="11" t="s">
        <v>175</v>
      </c>
      <c r="O380" s="21" t="str">
        <f>HYPERLINK("obsidian://open?vault=o2&amp;file=Obsidian%20Hotkeys%20for%20Editing.md","Obsidian Hotkeys for Editing")</f>
        <v>Obsidian Hotkeys for Editing</v>
      </c>
      <c r="P380" s="11" t="s">
        <v>175</v>
      </c>
      <c r="Q380" s="21" t="str">
        <f>HYPERLINK("obsidian://open?vault=o2&amp;file=Vim%20Cheatsheet.md","Vim Cheatsheet")</f>
        <v>Vim Cheatsheet</v>
      </c>
      <c r="R380" s="11" t="s">
        <v>175</v>
      </c>
      <c r="S380" s="21" t="str">
        <f>HYPERLINK("obsidian://open?vault=o2&amp;file=Cheats%20Lib%20README.md","Cheats Lib README")</f>
        <v>Cheats Lib README</v>
      </c>
      <c r="T380" s="11" t="s">
        <v>175</v>
      </c>
      <c r="U380" s="21" t="str">
        <f>HYPERLINK("obsidian://open?vault=o2&amp;file=Templater%20Cheat%20Sheet.md","Templater Cheat Sheet")</f>
        <v>Templater Cheat Sheet</v>
      </c>
      <c r="V380" s="11" t="s">
        <v>175</v>
      </c>
      <c r="W380" s="21" t="str">
        <f>HYPERLINK("obsidian://open?vault=o2&amp;file=Computer%20Cable%20Types.md","Computer Cable Types")</f>
        <v>Computer Cable Types</v>
      </c>
      <c r="X380" s="11" t="s">
        <v>175</v>
      </c>
      <c r="Y380" s="21" t="str">
        <f>HYPERLINK("obsidian://open?vault=o2&amp;file=%F0%9F%A6%8B%20Cheatsheets.md","🦋 Cheatsheets")</f>
        <v>🦋 Cheatsheets</v>
      </c>
      <c r="Z380" s="11" t="s">
        <v>175</v>
      </c>
      <c r="AF380" s="11">
        <f>SUBTOTAL(3,_xlfn.SINGLE(tbl_tags[RowId]))</f>
        <v>1</v>
      </c>
    </row>
    <row r="381" spans="5:32">
      <c r="E381" t="str">
        <f>IF(G381&lt;&gt;tbl_tags[[#This Row],[Tags]],"X","")</f>
        <v>X</v>
      </c>
      <c r="G381" s="259" t="s">
        <v>2585</v>
      </c>
      <c r="J381" s="4">
        <v>371</v>
      </c>
      <c r="K381" s="20" t="s">
        <v>2584</v>
      </c>
      <c r="L381" s="4">
        <v>2</v>
      </c>
      <c r="M381" s="21" t="str">
        <f>HYPERLINK("obsidian://open?vault=o2&amp;file=Computer%20Cable%20Types.md","Computer Cable Types")</f>
        <v>Computer Cable Types</v>
      </c>
      <c r="N381" s="11" t="s">
        <v>175</v>
      </c>
      <c r="O381" s="21" t="str">
        <f>HYPERLINK("obsidian://open?vault=o2&amp;file=%F0%9F%A6%8B%20Coding.md","🦋 Coding")</f>
        <v>🦋 Coding</v>
      </c>
      <c r="P381" s="11" t="s">
        <v>175</v>
      </c>
      <c r="AF381" s="11">
        <f>SUBTOTAL(3,_xlfn.SINGLE(tbl_tags[RowId]))</f>
        <v>1</v>
      </c>
    </row>
    <row r="382" spans="5:32">
      <c r="E382" t="str">
        <f>IF(G382&lt;&gt;tbl_tags[[#This Row],[Tags]],"X","")</f>
        <v>X</v>
      </c>
      <c r="G382" s="258" t="s">
        <v>2586</v>
      </c>
      <c r="J382" s="4">
        <v>372</v>
      </c>
      <c r="K382" s="20" t="s">
        <v>2585</v>
      </c>
      <c r="L382" s="4">
        <v>1</v>
      </c>
      <c r="M382" s="21" t="str">
        <f>HYPERLINK("obsidian://open?vault=o2&amp;file=%F0%9F%A6%8B%20Computers.md","🦋 Computers")</f>
        <v>🦋 Computers</v>
      </c>
      <c r="N382" s="11" t="s">
        <v>175</v>
      </c>
      <c r="AF382" s="11">
        <f>SUBTOTAL(3,_xlfn.SINGLE(tbl_tags[RowId]))</f>
        <v>1</v>
      </c>
    </row>
    <row r="383" spans="5:32">
      <c r="E383" t="str">
        <f>IF(G383&lt;&gt;tbl_tags[[#This Row],[Tags]],"X","")</f>
        <v>X</v>
      </c>
      <c r="G383" s="259" t="s">
        <v>2587</v>
      </c>
      <c r="J383" s="4">
        <v>373</v>
      </c>
      <c r="K383" s="20" t="s">
        <v>2586</v>
      </c>
      <c r="L383" s="4">
        <v>2</v>
      </c>
      <c r="M383" s="21" t="str">
        <f>HYPERLINK("obsidian://open?vault=o2&amp;file=Sex%20on%20the%20Beach.md","Sex on the Beach")</f>
        <v>Sex on the Beach</v>
      </c>
      <c r="N383" s="11" t="s">
        <v>175</v>
      </c>
      <c r="O383" s="21" t="str">
        <f>HYPERLINK("obsidian://open?vault=o2&amp;file=%F0%9F%A6%8B%20Cooking.md","🦋 Cooking")</f>
        <v>🦋 Cooking</v>
      </c>
      <c r="P383" s="11" t="s">
        <v>175</v>
      </c>
      <c r="AF383" s="11">
        <f>SUBTOTAL(3,_xlfn.SINGLE(tbl_tags[RowId]))</f>
        <v>1</v>
      </c>
    </row>
    <row r="384" spans="5:32">
      <c r="E384" t="str">
        <f>IF(G384&lt;&gt;tbl_tags[[#This Row],[Tags]],"X","")</f>
        <v>X</v>
      </c>
      <c r="G384" s="258" t="s">
        <v>2588</v>
      </c>
      <c r="J384" s="4">
        <v>385</v>
      </c>
      <c r="K384" s="20" t="s">
        <v>2597</v>
      </c>
      <c r="L384" s="4">
        <v>1</v>
      </c>
      <c r="M384"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N384" s="11" t="s">
        <v>175</v>
      </c>
      <c r="AF384" s="11">
        <f>SUBTOTAL(3,_xlfn.SINGLE(tbl_tags[RowId]))</f>
        <v>1</v>
      </c>
    </row>
    <row r="385" spans="5:32">
      <c r="E385" t="str">
        <f>IF(G385&lt;&gt;tbl_tags[[#This Row],[Tags]],"X","")</f>
        <v>X</v>
      </c>
      <c r="G385" s="259" t="s">
        <v>2589</v>
      </c>
      <c r="J385" s="4">
        <v>374</v>
      </c>
      <c r="K385" s="20" t="s">
        <v>2587</v>
      </c>
      <c r="L385" s="4">
        <v>1</v>
      </c>
      <c r="M385" s="21" t="str">
        <f>HYPERLINK("obsidian://open?vault=o2&amp;file=%F0%9F%A6%8B%20Design.md","🦋 Design")</f>
        <v>🦋 Design</v>
      </c>
      <c r="N385" s="11" t="s">
        <v>175</v>
      </c>
      <c r="AF385" s="11">
        <f>SUBTOTAL(3,_xlfn.SINGLE(tbl_tags[RowId]))</f>
        <v>1</v>
      </c>
    </row>
    <row r="386" spans="5:32">
      <c r="E386" t="str">
        <f>IF(G386&lt;&gt;tbl_tags[[#This Row],[Tags]],"X","")</f>
        <v>X</v>
      </c>
      <c r="G386" s="258" t="s">
        <v>2590</v>
      </c>
      <c r="J386" s="4">
        <v>375</v>
      </c>
      <c r="K386" s="20" t="s">
        <v>2588</v>
      </c>
      <c r="L386" s="4">
        <v>4</v>
      </c>
      <c r="M386" s="21" t="str">
        <f>HYPERLINK("obsidian://open?vault=o2&amp;file=incl_yaml.md","incl_yaml")</f>
        <v>incl_yaml</v>
      </c>
      <c r="N386" s="11" t="s">
        <v>175</v>
      </c>
      <c r="O386" s="21" t="str">
        <f>HYPERLINK("obsidian://open?vault=o2&amp;file=Sample%20YAML.md","Sample YAML")</f>
        <v>Sample YAML</v>
      </c>
      <c r="P386" s="11" t="s">
        <v>175</v>
      </c>
      <c r="Q386" s="21" t="str">
        <f>HYPERLINK("obsidian://open?vault=o2&amp;file=How%20to%20Sell%20A%20House.md","How to Sell A House")</f>
        <v>How to Sell A House</v>
      </c>
      <c r="R386" s="11" t="s">
        <v>175</v>
      </c>
      <c r="S386" s="21" t="str">
        <f>HYPERLINK("obsidian://open?vault=o2&amp;file=Book%20Application%20Template.md","Book Application Template")</f>
        <v>Book Application Template</v>
      </c>
      <c r="T386" s="11" t="s">
        <v>175</v>
      </c>
      <c r="AF386" s="11">
        <f>SUBTOTAL(3,_xlfn.SINGLE(tbl_tags[RowId]))</f>
        <v>1</v>
      </c>
    </row>
    <row r="387" spans="5:32">
      <c r="E387" t="str">
        <f>IF(G387&lt;&gt;tbl_tags[[#This Row],[Tags]],"X","")</f>
        <v>X</v>
      </c>
      <c r="G387" s="259" t="s">
        <v>2591</v>
      </c>
      <c r="J387" s="4">
        <v>376</v>
      </c>
      <c r="K387" s="20" t="s">
        <v>2589</v>
      </c>
      <c r="L387" s="4">
        <v>1</v>
      </c>
      <c r="M387" s="21" t="str">
        <f>HYPERLINK("obsidian://open?vault=o2&amp;file=%F0%9F%A6%8B%20Genealogy.md","🦋 Genealogy")</f>
        <v>🦋 Genealogy</v>
      </c>
      <c r="N387" s="11" t="s">
        <v>175</v>
      </c>
      <c r="AF387" s="11">
        <f>SUBTOTAL(3,_xlfn.SINGLE(tbl_tags[RowId]))</f>
        <v>1</v>
      </c>
    </row>
    <row r="388" spans="5:32">
      <c r="E388" t="str">
        <f>IF(G388&lt;&gt;tbl_tags[[#This Row],[Tags]],"X","")</f>
        <v>X</v>
      </c>
      <c r="G388" s="258" t="s">
        <v>2592</v>
      </c>
      <c r="J388" s="4">
        <v>377</v>
      </c>
      <c r="K388" s="20" t="s">
        <v>2590</v>
      </c>
      <c r="L388" s="4">
        <v>3</v>
      </c>
      <c r="M388" s="21" t="str">
        <f>HYPERLINK("obsidian://open?vault=o2&amp;file=What%20is%20Thread%20and%20how%20will%20it%20help%20your%20smart%20home.md","What is Thread and how will it help your smart home")</f>
        <v>What is Thread and how will it help your smart home</v>
      </c>
      <c r="N388" s="11" t="s">
        <v>175</v>
      </c>
      <c r="O388" s="21" t="str">
        <f>HYPERLINK("obsidian://open?vault=o2&amp;file=Kitchen%20Sink.md","Kitchen Sink")</f>
        <v>Kitchen Sink</v>
      </c>
      <c r="P388" s="11" t="s">
        <v>175</v>
      </c>
      <c r="Q388" s="21" t="str">
        <f>HYPERLINK("obsidian://open?vault=o2&amp;file=%F0%9F%A6%8B%20Home.md","🦋 Home")</f>
        <v>🦋 Home</v>
      </c>
      <c r="R388" s="11" t="s">
        <v>175</v>
      </c>
      <c r="AF388" s="11">
        <f>SUBTOTAL(3,_xlfn.SINGLE(tbl_tags[RowId]))</f>
        <v>1</v>
      </c>
    </row>
    <row r="389" spans="5:32">
      <c r="E389" t="str">
        <f>IF(G389&lt;&gt;tbl_tags[[#This Row],[Tags]],"X","")</f>
        <v>X</v>
      </c>
      <c r="G389" s="259" t="s">
        <v>2593</v>
      </c>
      <c r="J389" s="4">
        <v>378</v>
      </c>
      <c r="K389" s="20" t="s">
        <v>2591</v>
      </c>
      <c r="L389" s="4">
        <v>1</v>
      </c>
      <c r="M389" s="21" t="str">
        <f>HYPERLINK("obsidian://open?vault=o2&amp;file=%F0%9F%A6%8B%20Media.md","🦋 Media")</f>
        <v>🦋 Media</v>
      </c>
      <c r="N389" s="11" t="s">
        <v>175</v>
      </c>
      <c r="AF389" s="11">
        <f>SUBTOTAL(3,_xlfn.SINGLE(tbl_tags[RowId]))</f>
        <v>1</v>
      </c>
    </row>
    <row r="390" spans="5:32">
      <c r="E390" t="str">
        <f>IF(G390&lt;&gt;tbl_tags[[#This Row],[Tags]],"X","")</f>
        <v>X</v>
      </c>
      <c r="G390" s="258" t="s">
        <v>2594</v>
      </c>
      <c r="J390" s="4">
        <v>379</v>
      </c>
      <c r="K390" s="20" t="s">
        <v>2592</v>
      </c>
      <c r="L390" s="4">
        <v>1</v>
      </c>
      <c r="M390" s="21" t="str">
        <f>HYPERLINK("obsidian://open?vault=o2&amp;file=%F0%9F%A6%8B%20Music.md","🦋 Music")</f>
        <v>🦋 Music</v>
      </c>
      <c r="N390" s="11" t="s">
        <v>175</v>
      </c>
      <c r="AF390" s="11">
        <f>SUBTOTAL(3,_xlfn.SINGLE(tbl_tags[RowId]))</f>
        <v>1</v>
      </c>
    </row>
    <row r="391" spans="5:32">
      <c r="E391" t="str">
        <f>IF(G391&lt;&gt;tbl_tags[[#This Row],[Tags]],"X","")</f>
        <v>X</v>
      </c>
      <c r="G391" s="259" t="s">
        <v>2595</v>
      </c>
      <c r="J391" s="4">
        <v>380</v>
      </c>
      <c r="K391" s="20" t="s">
        <v>2593</v>
      </c>
      <c r="L391" s="4">
        <v>1</v>
      </c>
      <c r="M391" s="21" t="str">
        <f>HYPERLINK("obsidian://open?vault=o2&amp;file=%F0%9F%A6%8B%20Travel.md","🦋 Travel")</f>
        <v>🦋 Travel</v>
      </c>
      <c r="N391" s="11" t="s">
        <v>175</v>
      </c>
      <c r="AF391" s="11">
        <f>SUBTOTAL(3,_xlfn.SINGLE(tbl_tags[RowId]))</f>
        <v>1</v>
      </c>
    </row>
    <row r="392" spans="5:32">
      <c r="E392" t="str">
        <f>IF(G392&lt;&gt;tbl_tags[[#This Row],[Tags]],"X","")</f>
        <v>X</v>
      </c>
      <c r="G392" s="258" t="s">
        <v>2596</v>
      </c>
      <c r="J392" s="4">
        <v>381</v>
      </c>
      <c r="K392" s="20" t="s">
        <v>2594</v>
      </c>
      <c r="L392" s="4">
        <v>2</v>
      </c>
      <c r="M392" s="21" t="str">
        <f>HYPERLINK("obsidian://open?vault=o2&amp;file=Draft%20Notes%20for%20Poetry.md","Draft Notes for Poetry")</f>
        <v>Draft Notes for Poetry</v>
      </c>
      <c r="N392" s="11" t="s">
        <v>175</v>
      </c>
      <c r="O392" s="21" t="str">
        <f>HYPERLINK("obsidian://open?vault=o2&amp;file=%F0%9F%A6%8B%20Writing.md","🦋 Writing")</f>
        <v>🦋 Writing</v>
      </c>
      <c r="P392" s="11" t="s">
        <v>175</v>
      </c>
      <c r="AF392" s="11">
        <f>SUBTOTAL(3,_xlfn.SINGLE(tbl_tags[RowId]))</f>
        <v>1</v>
      </c>
    </row>
    <row r="393" spans="5:32">
      <c r="E393" t="str">
        <f>IF(G393&lt;&gt;tbl_tags[[#This Row],[Tags]],"X","")</f>
        <v>X</v>
      </c>
      <c r="J393" s="4">
        <v>382</v>
      </c>
      <c r="K393" s="20" t="s">
        <v>2595</v>
      </c>
      <c r="L393" s="4">
        <v>6</v>
      </c>
      <c r="M393" s="21" t="str">
        <f>HYPERLINK("obsidian://open?vault=o2&amp;file=incl_yaml.md","incl_yaml")</f>
        <v>incl_yaml</v>
      </c>
      <c r="N393" s="11" t="s">
        <v>175</v>
      </c>
      <c r="O393" s="21" t="str">
        <f>HYPERLINK("obsidian://open?vault=o2&amp;file=Magazines%20Ordered%20Jan-2023.md","Magazines Ordered Jan-2023")</f>
        <v>Magazines Ordered Jan-2023</v>
      </c>
      <c r="P393" s="11" t="s">
        <v>175</v>
      </c>
      <c r="Q393" s="21" t="str">
        <f>HYPERLINK("obsidian://open?vault=o2&amp;file=Template%20Debrief.md","Template Debrief")</f>
        <v>Template Debrief</v>
      </c>
      <c r="R393" s="11" t="s">
        <v>175</v>
      </c>
      <c r="S393" s="21" t="str">
        <f>HYPERLINK("obsidian://open?vault=o2&amp;file=Template%20Explanations.md","Template Explanations")</f>
        <v>Template Explanations</v>
      </c>
      <c r="T393" s="11" t="s">
        <v>175</v>
      </c>
      <c r="U393" s="21" t="str">
        <f>HYPERLINK("obsidian://open?vault=o2&amp;file=Planet%20Fitness%20Membership.md","Planet Fitness Membership")</f>
        <v>Planet Fitness Membership</v>
      </c>
      <c r="V393" s="11" t="s">
        <v>175</v>
      </c>
      <c r="W393" s="21" t="str">
        <f>HYPERLINK("obsidian://open?vault=o2&amp;file=Book%20Application%20Template.md","Book Application Template")</f>
        <v>Book Application Template</v>
      </c>
      <c r="X393" s="11" t="s">
        <v>175</v>
      </c>
      <c r="AF393" s="11">
        <f>SUBTOTAL(3,_xlfn.SINGLE(tbl_tags[RowId]))</f>
        <v>1</v>
      </c>
    </row>
    <row r="394" spans="5:32">
      <c r="E394" t="str">
        <f>IF(G394&lt;&gt;tbl_tags[[#This Row],[Tags]],"X","")</f>
        <v>X</v>
      </c>
      <c r="J394" s="4">
        <v>383</v>
      </c>
      <c r="K394" s="20" t="s">
        <v>2596</v>
      </c>
      <c r="L394" s="4">
        <v>1</v>
      </c>
      <c r="M394" s="21" t="str">
        <f>HYPERLINK("obsidian://open?vault=o2&amp;file=Car%20Info.md","Car Info")</f>
        <v>Car Info</v>
      </c>
      <c r="N394" s="11" t="s">
        <v>175</v>
      </c>
      <c r="AF394" s="11">
        <f>SUBTOTAL(3,_xlfn.SINGLE(tbl_tags[RowId]))</f>
        <v>1</v>
      </c>
    </row>
    <row r="395" spans="5:32">
      <c r="E395" t="e">
        <f>IF(G395&lt;&gt;tbl_tags[[#This Row],[Tags]],"X","")</f>
        <v>#VALUE!</v>
      </c>
    </row>
  </sheetData>
  <sortState xmlns:xlrd2="http://schemas.microsoft.com/office/spreadsheetml/2017/richdata2" ref="G11:G392">
    <sortCondition ref="G11:G392"/>
  </sortState>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E5E9B"/>
  </sheetPr>
  <dimension ref="A2:R2810"/>
  <sheetViews>
    <sheetView showGridLines="0" workbookViewId="0">
      <selection activeCell="D17" sqref="D17"/>
    </sheetView>
  </sheetViews>
  <sheetFormatPr defaultRowHeight="15"/>
  <cols>
    <col min="1" max="1" width="9.23046875" style="260"/>
    <col min="3" max="3" width="30" customWidth="1"/>
    <col min="4" max="5" width="17" customWidth="1"/>
    <col min="10" max="10" width="8" customWidth="1"/>
    <col min="11" max="11" width="30" customWidth="1"/>
    <col min="12" max="12" width="1.07421875" customWidth="1"/>
    <col min="13" max="13" width="10" customWidth="1"/>
    <col min="14" max="16" width="18" customWidth="1"/>
    <col min="17" max="17" width="50" customWidth="1"/>
    <col min="18" max="18" width="1.07421875" customWidth="1"/>
  </cols>
  <sheetData>
    <row r="2" spans="3:18" ht="29.5">
      <c r="C2" s="32" t="s">
        <v>2598</v>
      </c>
    </row>
    <row r="5" spans="3:18" ht="18">
      <c r="C5" s="33" t="s">
        <v>0</v>
      </c>
      <c r="D5" s="34" t="s">
        <v>140</v>
      </c>
      <c r="E5" s="34" t="s">
        <v>141</v>
      </c>
      <c r="G5" t="s">
        <v>4427</v>
      </c>
    </row>
    <row r="6" spans="3:18">
      <c r="C6" s="27" t="s">
        <v>2599</v>
      </c>
      <c r="D6" s="4">
        <f>COUNTA(_xlfn.UNIQUE(_xlfn._xlws.FILTER(tbl_file[Notes],tbl_file[IsVisible])))</f>
        <v>741</v>
      </c>
      <c r="E6" s="4">
        <f>COUNTA(_xlfn.UNIQUE(tbl_file[Notes]))</f>
        <v>741</v>
      </c>
    </row>
    <row r="7" spans="3:18">
      <c r="C7" s="27" t="s">
        <v>2601</v>
      </c>
      <c r="D7" s="4">
        <f>_xlfn.AGGREGATE(3,3,tbl_file[Inline?])</f>
        <v>85</v>
      </c>
      <c r="E7" s="4">
        <f>COUNTA(tbl_file[Inline?])</f>
        <v>85</v>
      </c>
      <c r="G7" t="s">
        <v>4426</v>
      </c>
    </row>
    <row r="8" spans="3:18" ht="15.5">
      <c r="C8" s="27" t="s">
        <v>1</v>
      </c>
      <c r="D8" s="4">
        <f>COUNTA(_xlfn.UNIQUE(_xlfn._xlws.FILTER(tbl_file[Property],tbl_file[IsVisible])))</f>
        <v>179</v>
      </c>
      <c r="E8" s="4">
        <f>COUNTA(_xlfn.UNIQUE(tbl_file[Property]))</f>
        <v>179</v>
      </c>
      <c r="K8" s="5" t="str">
        <f>IFERROR(IF(_xlfn.AGGREGATE(3,3,tbl_file[Property])&lt;&gt;SUM(tbl_file[IsVisible]),"Properties w/Empty Values Detected!",""),"")</f>
        <v/>
      </c>
    </row>
    <row r="9" spans="3:18">
      <c r="C9" s="27" t="s">
        <v>2602</v>
      </c>
      <c r="D9" s="4">
        <f>COUNTA(_xlfn.UNIQUE(_xlfn._xlws.FILTER(tbl_file[Property],tbl_file[IsVisible])))</f>
        <v>179</v>
      </c>
      <c r="E9" s="4">
        <f>COUNTA(tbl_file[Property])</f>
        <v>2800</v>
      </c>
    </row>
    <row r="10" spans="3:18">
      <c r="C10" s="59" t="s">
        <v>2603</v>
      </c>
      <c r="D10" s="58">
        <f>_xlfn.AGGREGATE(9,3,tbl_file[ValCount])</f>
        <v>4616</v>
      </c>
      <c r="E10" s="58">
        <f>_xlfn.AGGREGATE(9,3,tbl_file[ValCount])</f>
        <v>4616</v>
      </c>
      <c r="J10" s="35" t="s">
        <v>8</v>
      </c>
      <c r="K10" s="36" t="s">
        <v>2599</v>
      </c>
      <c r="L10" s="34" t="s">
        <v>2600</v>
      </c>
      <c r="M10" s="36" t="s">
        <v>2601</v>
      </c>
      <c r="N10" s="36" t="s">
        <v>1</v>
      </c>
      <c r="O10" s="36" t="s">
        <v>2602</v>
      </c>
      <c r="P10" s="36" t="s">
        <v>2603</v>
      </c>
      <c r="Q10" s="35" t="s">
        <v>2604</v>
      </c>
      <c r="R10" s="37" t="s">
        <v>9</v>
      </c>
    </row>
    <row r="11" spans="3:18">
      <c r="J11" s="4">
        <v>2407</v>
      </c>
      <c r="K11" s="21" t="str">
        <f>HYPERLINK("obsidian://open?vault=o2&amp;file=_start_here.md","_start_here")</f>
        <v>_start_here</v>
      </c>
      <c r="L11" s="20" t="s">
        <v>175</v>
      </c>
      <c r="M11" s="4"/>
      <c r="N11" s="2" t="s">
        <v>118</v>
      </c>
      <c r="O11" s="2"/>
      <c r="P11" s="4">
        <v>1</v>
      </c>
      <c r="Q11" s="2" t="s">
        <v>1641</v>
      </c>
      <c r="R11" s="11">
        <f>SUBTOTAL(3,_xlfn.SINGLE(tbl_file[RowId]))</f>
        <v>1</v>
      </c>
    </row>
    <row r="12" spans="3:18">
      <c r="J12" s="4">
        <v>2408</v>
      </c>
      <c r="K12" s="21" t="str">
        <f>HYPERLINK("obsidian://open?vault=o2&amp;file=_start_here.md","_start_here")</f>
        <v>_start_here</v>
      </c>
      <c r="L12" s="20" t="s">
        <v>175</v>
      </c>
      <c r="M12" s="4"/>
      <c r="N12" s="2" t="s">
        <v>123</v>
      </c>
      <c r="O12" s="2"/>
      <c r="P12" s="4">
        <v>1</v>
      </c>
      <c r="Q12" s="2" t="s">
        <v>1564</v>
      </c>
      <c r="R12" s="11">
        <f>SUBTOTAL(3,_xlfn.SINGLE(tbl_file[RowId]))</f>
        <v>1</v>
      </c>
    </row>
    <row r="13" spans="3:18">
      <c r="J13" s="4">
        <v>2409</v>
      </c>
      <c r="K13" s="21" t="str">
        <f>HYPERLINK("obsidian://open?vault=o2&amp;file=_start_here.md","_start_here")</f>
        <v>_start_here</v>
      </c>
      <c r="L13" s="20" t="s">
        <v>175</v>
      </c>
      <c r="M13" s="4"/>
      <c r="N13" s="2" t="s">
        <v>127</v>
      </c>
      <c r="O13" s="2"/>
      <c r="P13" s="4">
        <v>1</v>
      </c>
      <c r="Q13" s="2" t="s">
        <v>1968</v>
      </c>
      <c r="R13" s="11">
        <f>SUBTOTAL(3,_xlfn.SINGLE(tbl_file[RowId]))</f>
        <v>1</v>
      </c>
    </row>
    <row r="14" spans="3:18">
      <c r="J14" s="4">
        <v>2410</v>
      </c>
      <c r="K14" s="21" t="str">
        <f>HYPERLINK("obsidian://open?vault=o2&amp;file=_start_here.md","_start_here")</f>
        <v>_start_here</v>
      </c>
      <c r="L14" s="20" t="s">
        <v>175</v>
      </c>
      <c r="M14" s="4"/>
      <c r="N14" s="2" t="s">
        <v>129</v>
      </c>
      <c r="O14" s="2"/>
      <c r="P14" s="4">
        <v>1</v>
      </c>
      <c r="Q14" s="2" t="s">
        <v>1430</v>
      </c>
      <c r="R14" s="11">
        <f>SUBTOTAL(3,_xlfn.SINGLE(tbl_file[RowId]))</f>
        <v>1</v>
      </c>
    </row>
    <row r="15" spans="3:18">
      <c r="J15" s="4">
        <v>2411</v>
      </c>
      <c r="K15" s="21" t="str">
        <f>HYPERLINK("obsidian://open?vault=o2&amp;file=_start_here.md","_start_here")</f>
        <v>_start_here</v>
      </c>
      <c r="L15" s="20" t="s">
        <v>175</v>
      </c>
      <c r="M15" s="4"/>
      <c r="N15" s="2" t="s">
        <v>2606</v>
      </c>
      <c r="O15" s="2"/>
      <c r="P15" s="4">
        <v>2</v>
      </c>
      <c r="Q15" s="2" t="s">
        <v>3176</v>
      </c>
      <c r="R15" s="11">
        <f>SUBTOTAL(3,_xlfn.SINGLE(tbl_file[RowId]))</f>
        <v>1</v>
      </c>
    </row>
    <row r="16" spans="3:18">
      <c r="J16" s="4">
        <v>2605</v>
      </c>
      <c r="K16" s="21" t="str">
        <f>HYPERLINK("obsidian://open?vault=o2&amp;file=%E2%99%BB%EF%B8%8F%20My%20Habits.md","♻️ My Habits")</f>
        <v>♻️ My Habits</v>
      </c>
      <c r="L16" s="20" t="s">
        <v>175</v>
      </c>
      <c r="M16" s="4"/>
      <c r="N16" s="2" t="s">
        <v>50</v>
      </c>
      <c r="O16" s="2"/>
      <c r="P16" s="4">
        <v>1</v>
      </c>
      <c r="Q16" s="2" t="s">
        <v>1582</v>
      </c>
      <c r="R16" s="11">
        <f>SUBTOTAL(3,_xlfn.SINGLE(tbl_file[RowId]))</f>
        <v>1</v>
      </c>
    </row>
    <row r="17" spans="3:18" ht="15.5">
      <c r="C17" s="5" t="str">
        <f>IFERROR(IF(COUNTA(tbl_file[RowId])&lt;&gt;SUM(tbl_file[IsVisible]),"Column filters applied--Totals now reflect column filters!",""),"")</f>
        <v/>
      </c>
      <c r="J17" s="4">
        <v>2606</v>
      </c>
      <c r="K17" s="21" t="str">
        <f>HYPERLINK("obsidian://open?vault=o2&amp;file=%E2%99%BB%EF%B8%8F%20My%20Habits.md","♻️ My Habits")</f>
        <v>♻️ My Habits</v>
      </c>
      <c r="L17" s="20" t="s">
        <v>175</v>
      </c>
      <c r="M17" s="4"/>
      <c r="N17" s="2" t="s">
        <v>127</v>
      </c>
      <c r="O17" s="2"/>
      <c r="P17" s="4">
        <v>1</v>
      </c>
      <c r="Q17" s="2" t="s">
        <v>1932</v>
      </c>
      <c r="R17" s="11">
        <f>SUBTOTAL(3,_xlfn.SINGLE(tbl_file[RowId]))</f>
        <v>1</v>
      </c>
    </row>
    <row r="18" spans="3:18">
      <c r="J18" s="4">
        <v>2607</v>
      </c>
      <c r="K18" s="21" t="str">
        <f>HYPERLINK("obsidian://open?vault=o2&amp;file=%E2%99%BB%EF%B8%8F%20My%20Habits.md","♻️ My Habits")</f>
        <v>♻️ My Habits</v>
      </c>
      <c r="L18" s="20" t="s">
        <v>175</v>
      </c>
      <c r="M18" s="4"/>
      <c r="N18" s="2" t="s">
        <v>2606</v>
      </c>
      <c r="O18" s="2"/>
      <c r="P18" s="4">
        <v>4</v>
      </c>
      <c r="Q18" s="2" t="s">
        <v>3256</v>
      </c>
      <c r="R18" s="11">
        <f>SUBTOTAL(3,_xlfn.SINGLE(tbl_file[RowId]))</f>
        <v>1</v>
      </c>
    </row>
    <row r="19" spans="3:18">
      <c r="J19" s="4">
        <v>8</v>
      </c>
      <c r="K19" s="21" t="str">
        <f>HYPERLINK("obsidian://open?vault=o2&amp;file=%E2%9A%A1%20Add%20Notebook%20Areas%20and%20Resources%20Project.md","⚡ Add Notebook Areas and Resources Project")</f>
        <v>⚡ Add Notebook Areas and Resources Project</v>
      </c>
      <c r="L19" s="20" t="s">
        <v>175</v>
      </c>
      <c r="M19" s="4"/>
      <c r="N19" s="2" t="s">
        <v>31</v>
      </c>
      <c r="O19" s="2"/>
      <c r="P19" s="4">
        <v>1</v>
      </c>
      <c r="Q19" s="2" t="s">
        <v>2608</v>
      </c>
      <c r="R19" s="11">
        <f>SUBTOTAL(3,_xlfn.SINGLE(tbl_file[RowId]))</f>
        <v>1</v>
      </c>
    </row>
    <row r="20" spans="3:18">
      <c r="J20" s="4">
        <v>9</v>
      </c>
      <c r="K20" s="21" t="str">
        <f>HYPERLINK("obsidian://open?vault=o2&amp;file=%E2%9A%A1%20Add%20Notebook%20Areas%20and%20Resources%20Project.md","⚡ Add Notebook Areas and Resources Project")</f>
        <v>⚡ Add Notebook Areas and Resources Project</v>
      </c>
      <c r="L20" s="20" t="s">
        <v>175</v>
      </c>
      <c r="M20" s="4"/>
      <c r="N20" s="2" t="s">
        <v>50</v>
      </c>
      <c r="O20" s="2"/>
      <c r="P20" s="4">
        <v>2</v>
      </c>
      <c r="Q20" s="2" t="s">
        <v>2609</v>
      </c>
      <c r="R20" s="11">
        <f>SUBTOTAL(3,_xlfn.SINGLE(tbl_file[RowId]))</f>
        <v>1</v>
      </c>
    </row>
    <row r="21" spans="3:18">
      <c r="C21" s="36" t="s">
        <v>22</v>
      </c>
      <c r="J21" s="4">
        <v>10</v>
      </c>
      <c r="K21" s="21" t="str">
        <f>HYPERLINK("obsidian://open?vault=o2&amp;file=%E2%9A%A1%20Add%20Notebook%20Areas%20and%20Resources%20Project.md","⚡ Add Notebook Areas and Resources Project")</f>
        <v>⚡ Add Notebook Areas and Resources Project</v>
      </c>
      <c r="L21" s="20" t="s">
        <v>175</v>
      </c>
      <c r="M21" s="4"/>
      <c r="N21" s="2" t="s">
        <v>123</v>
      </c>
      <c r="O21" s="2"/>
      <c r="P21" s="4">
        <v>1</v>
      </c>
      <c r="Q21" s="2" t="s">
        <v>1564</v>
      </c>
      <c r="R21" s="11">
        <f>SUBTOTAL(3,_xlfn.SINGLE(tbl_file[RowId]))</f>
        <v>1</v>
      </c>
    </row>
    <row r="22" spans="3:18">
      <c r="J22" s="4">
        <v>11</v>
      </c>
      <c r="K22" s="21" t="str">
        <f>HYPERLINK("obsidian://open?vault=o2&amp;file=%E2%9A%A1%20Add%20Notebook%20Areas%20and%20Resources%20Project.md","⚡ Add Notebook Areas and Resources Project")</f>
        <v>⚡ Add Notebook Areas and Resources Project</v>
      </c>
      <c r="L22" s="20" t="s">
        <v>175</v>
      </c>
      <c r="M22" s="4"/>
      <c r="N22" s="2" t="s">
        <v>127</v>
      </c>
      <c r="O22" s="2"/>
      <c r="P22" s="4">
        <v>1</v>
      </c>
      <c r="Q22" s="2" t="s">
        <v>1938</v>
      </c>
      <c r="R22" s="11">
        <f>SUBTOTAL(3,_xlfn.SINGLE(tbl_file[RowId]))</f>
        <v>1</v>
      </c>
    </row>
    <row r="23" spans="3:18">
      <c r="J23" s="4">
        <v>12</v>
      </c>
      <c r="K23" s="21" t="str">
        <f>HYPERLINK("obsidian://open?vault=o2&amp;file=%E2%9A%A1%20Add%20Notebook%20Areas%20and%20Resources%20Project.md","⚡ Add Notebook Areas and Resources Project")</f>
        <v>⚡ Add Notebook Areas and Resources Project</v>
      </c>
      <c r="L23" s="20" t="s">
        <v>175</v>
      </c>
      <c r="M23" s="4"/>
      <c r="N23" s="2" t="s">
        <v>2606</v>
      </c>
      <c r="O23" s="2"/>
      <c r="P23" s="4">
        <v>2</v>
      </c>
      <c r="Q23" s="2" t="s">
        <v>2610</v>
      </c>
      <c r="R23" s="11">
        <f>SUBTOTAL(3,_xlfn.SINGLE(tbl_file[RowId]))</f>
        <v>1</v>
      </c>
    </row>
    <row r="24" spans="3:18">
      <c r="J24" s="4">
        <v>2624</v>
      </c>
      <c r="K24" s="21" t="str">
        <f>HYPERLINK("obsidian://open?vault=o2&amp;file=%E2%9A%A1%20Build%20118th%20Congress%20Spreadsheet.md","⚡ Build 118th Congress Spreadsheet")</f>
        <v>⚡ Build 118th Congress Spreadsheet</v>
      </c>
      <c r="L24" s="20" t="s">
        <v>175</v>
      </c>
      <c r="M24" s="4"/>
      <c r="N24" s="2" t="s">
        <v>50</v>
      </c>
      <c r="O24" s="2"/>
      <c r="P24" s="4">
        <v>1</v>
      </c>
      <c r="Q24" s="2" t="s">
        <v>1594</v>
      </c>
      <c r="R24" s="11">
        <f>SUBTOTAL(3,_xlfn.SINGLE(tbl_file[RowId]))</f>
        <v>1</v>
      </c>
    </row>
    <row r="25" spans="3:18">
      <c r="J25" s="4">
        <v>2625</v>
      </c>
      <c r="K25" s="21" t="str">
        <f>HYPERLINK("obsidian://open?vault=o2&amp;file=%E2%9A%A1%20Build%20118th%20Congress%20Spreadsheet.md","⚡ Build 118th Congress Spreadsheet")</f>
        <v>⚡ Build 118th Congress Spreadsheet</v>
      </c>
      <c r="L25" s="20" t="s">
        <v>175</v>
      </c>
      <c r="M25" s="4"/>
      <c r="N25" s="2" t="s">
        <v>127</v>
      </c>
      <c r="O25" s="2"/>
      <c r="P25" s="4">
        <v>1</v>
      </c>
      <c r="Q25" s="2" t="s">
        <v>1954</v>
      </c>
      <c r="R25" s="11">
        <f>SUBTOTAL(3,_xlfn.SINGLE(tbl_file[RowId]))</f>
        <v>1</v>
      </c>
    </row>
    <row r="26" spans="3:18">
      <c r="J26" s="4">
        <v>2626</v>
      </c>
      <c r="K26" s="21" t="str">
        <f>HYPERLINK("obsidian://open?vault=o2&amp;file=%E2%9A%A1%20Build%20118th%20Congress%20Spreadsheet.md","⚡ Build 118th Congress Spreadsheet")</f>
        <v>⚡ Build 118th Congress Spreadsheet</v>
      </c>
      <c r="L26" s="20" t="s">
        <v>175</v>
      </c>
      <c r="M26" s="4"/>
      <c r="N26" s="2" t="s">
        <v>2606</v>
      </c>
      <c r="O26" s="2"/>
      <c r="P26" s="4">
        <v>3</v>
      </c>
      <c r="Q26" s="2" t="s">
        <v>3263</v>
      </c>
      <c r="R26" s="11">
        <f>SUBTOTAL(3,_xlfn.SINGLE(tbl_file[RowId]))</f>
        <v>1</v>
      </c>
    </row>
    <row r="27" spans="3:18">
      <c r="J27" s="4">
        <v>87</v>
      </c>
      <c r="K27" s="21" t="str">
        <f t="shared" ref="K27:K32" si="0">HYPERLINK("obsidian://open?vault=o2&amp;file=%E2%9A%A1%20CasaOS%20Project.md","⚡ CasaOS Project")</f>
        <v>⚡ CasaOS Project</v>
      </c>
      <c r="L27" s="20" t="s">
        <v>175</v>
      </c>
      <c r="M27" s="4"/>
      <c r="N27" s="2" t="s">
        <v>31</v>
      </c>
      <c r="O27" s="2"/>
      <c r="P27" s="4">
        <v>1</v>
      </c>
      <c r="Q27" s="2" t="s">
        <v>438</v>
      </c>
      <c r="R27" s="11">
        <f>SUBTOTAL(3,_xlfn.SINGLE(tbl_file[RowId]))</f>
        <v>1</v>
      </c>
    </row>
    <row r="28" spans="3:18">
      <c r="J28" s="4">
        <v>88</v>
      </c>
      <c r="K28" s="21" t="str">
        <f t="shared" si="0"/>
        <v>⚡ CasaOS Project</v>
      </c>
      <c r="L28" s="20" t="s">
        <v>175</v>
      </c>
      <c r="M28" s="4"/>
      <c r="N28" s="2" t="s">
        <v>50</v>
      </c>
      <c r="O28" s="2"/>
      <c r="P28" s="4">
        <v>1</v>
      </c>
      <c r="Q28" s="2" t="s">
        <v>1598</v>
      </c>
      <c r="R28" s="11">
        <f>SUBTOTAL(3,_xlfn.SINGLE(tbl_file[RowId]))</f>
        <v>1</v>
      </c>
    </row>
    <row r="29" spans="3:18">
      <c r="J29" s="4">
        <v>89</v>
      </c>
      <c r="K29" s="21" t="str">
        <f t="shared" si="0"/>
        <v>⚡ CasaOS Project</v>
      </c>
      <c r="L29" s="20" t="s">
        <v>175</v>
      </c>
      <c r="M29" s="4"/>
      <c r="N29" s="2" t="s">
        <v>123</v>
      </c>
      <c r="O29" s="2"/>
      <c r="P29" s="4">
        <v>1</v>
      </c>
      <c r="Q29" s="2" t="s">
        <v>1813</v>
      </c>
      <c r="R29" s="11">
        <f>SUBTOTAL(3,_xlfn.SINGLE(tbl_file[RowId]))</f>
        <v>1</v>
      </c>
    </row>
    <row r="30" spans="3:18">
      <c r="J30" s="4">
        <v>90</v>
      </c>
      <c r="K30" s="21" t="str">
        <f t="shared" si="0"/>
        <v>⚡ CasaOS Project</v>
      </c>
      <c r="L30" s="20" t="s">
        <v>175</v>
      </c>
      <c r="M30" s="4"/>
      <c r="N30" s="2" t="s">
        <v>127</v>
      </c>
      <c r="O30" s="2"/>
      <c r="P30" s="4">
        <v>1</v>
      </c>
      <c r="Q30" s="2" t="s">
        <v>1940</v>
      </c>
      <c r="R30" s="11">
        <f>SUBTOTAL(3,_xlfn.SINGLE(tbl_file[RowId]))</f>
        <v>1</v>
      </c>
    </row>
    <row r="31" spans="3:18">
      <c r="J31" s="4">
        <v>91</v>
      </c>
      <c r="K31" s="21" t="str">
        <f t="shared" si="0"/>
        <v>⚡ CasaOS Project</v>
      </c>
      <c r="L31" s="20" t="s">
        <v>175</v>
      </c>
      <c r="M31" s="4"/>
      <c r="N31" s="2" t="s">
        <v>2606</v>
      </c>
      <c r="O31" s="2"/>
      <c r="P31" s="4">
        <v>4</v>
      </c>
      <c r="Q31" s="2" t="s">
        <v>2625</v>
      </c>
      <c r="R31" s="11">
        <f>SUBTOTAL(3,_xlfn.SINGLE(tbl_file[RowId]))</f>
        <v>1</v>
      </c>
    </row>
    <row r="32" spans="3:18">
      <c r="J32" s="4">
        <v>92</v>
      </c>
      <c r="K32" s="21" t="str">
        <f t="shared" si="0"/>
        <v>⚡ CasaOS Project</v>
      </c>
      <c r="L32" s="20" t="s">
        <v>175</v>
      </c>
      <c r="M32" s="4" t="s">
        <v>2626</v>
      </c>
      <c r="N32" s="2" t="s">
        <v>2606</v>
      </c>
      <c r="O32" s="2"/>
      <c r="P32" s="4">
        <v>6</v>
      </c>
      <c r="Q32" s="2" t="s">
        <v>2627</v>
      </c>
      <c r="R32" s="11">
        <f>SUBTOTAL(3,_xlfn.SINGLE(tbl_file[RowId]))</f>
        <v>1</v>
      </c>
    </row>
    <row r="33" spans="10:18">
      <c r="J33" s="4">
        <v>103</v>
      </c>
      <c r="K33" s="21" t="str">
        <f>HYPERLINK("obsidian://open?vault=o2&amp;file=%E2%9A%A1%20Cheatsheets%20Library.md","⚡ Cheatsheets Library")</f>
        <v>⚡ Cheatsheets Library</v>
      </c>
      <c r="L33" s="20" t="s">
        <v>175</v>
      </c>
      <c r="M33" s="4"/>
      <c r="N33" s="2" t="s">
        <v>12</v>
      </c>
      <c r="O33" s="2"/>
      <c r="P33" s="4">
        <v>1</v>
      </c>
      <c r="Q33" s="2" t="s">
        <v>268</v>
      </c>
      <c r="R33" s="11">
        <f>SUBTOTAL(3,_xlfn.SINGLE(tbl_file[RowId]))</f>
        <v>1</v>
      </c>
    </row>
    <row r="34" spans="10:18">
      <c r="J34" s="4">
        <v>104</v>
      </c>
      <c r="K34" s="21" t="str">
        <f>HYPERLINK("obsidian://open?vault=o2&amp;file=%E2%9A%A1%20Cheatsheets%20Library.md","⚡ Cheatsheets Library")</f>
        <v>⚡ Cheatsheets Library</v>
      </c>
      <c r="L34" s="20" t="s">
        <v>175</v>
      </c>
      <c r="M34" s="4"/>
      <c r="N34" s="2" t="s">
        <v>31</v>
      </c>
      <c r="O34" s="2"/>
      <c r="P34" s="4">
        <v>1</v>
      </c>
      <c r="Q34" s="2" t="s">
        <v>2632</v>
      </c>
      <c r="R34" s="11">
        <f>SUBTOTAL(3,_xlfn.SINGLE(tbl_file[RowId]))</f>
        <v>1</v>
      </c>
    </row>
    <row r="35" spans="10:18">
      <c r="J35" s="4">
        <v>105</v>
      </c>
      <c r="K35" s="21" t="str">
        <f>HYPERLINK("obsidian://open?vault=o2&amp;file=%E2%9A%A1%20Cheatsheets%20Library.md","⚡ Cheatsheets Library")</f>
        <v>⚡ Cheatsheets Library</v>
      </c>
      <c r="L35" s="20" t="s">
        <v>175</v>
      </c>
      <c r="M35" s="4"/>
      <c r="N35" s="2" t="s">
        <v>50</v>
      </c>
      <c r="O35" s="2"/>
      <c r="P35" s="4">
        <v>1</v>
      </c>
      <c r="Q35" s="2" t="s">
        <v>1598</v>
      </c>
      <c r="R35" s="11">
        <f>SUBTOTAL(3,_xlfn.SINGLE(tbl_file[RowId]))</f>
        <v>1</v>
      </c>
    </row>
    <row r="36" spans="10:18">
      <c r="J36" s="4">
        <v>106</v>
      </c>
      <c r="K36" s="21" t="str">
        <f>HYPERLINK("obsidian://open?vault=o2&amp;file=%E2%9A%A1%20Cheatsheets%20Library.md","⚡ Cheatsheets Library")</f>
        <v>⚡ Cheatsheets Library</v>
      </c>
      <c r="L36" s="20" t="s">
        <v>175</v>
      </c>
      <c r="M36" s="4"/>
      <c r="N36" s="2" t="s">
        <v>127</v>
      </c>
      <c r="O36" s="2"/>
      <c r="P36" s="4">
        <v>1</v>
      </c>
      <c r="Q36" s="2" t="s">
        <v>1938</v>
      </c>
      <c r="R36" s="11">
        <f>SUBTOTAL(3,_xlfn.SINGLE(tbl_file[RowId]))</f>
        <v>1</v>
      </c>
    </row>
    <row r="37" spans="10:18">
      <c r="J37" s="4">
        <v>107</v>
      </c>
      <c r="K37" s="21" t="str">
        <f>HYPERLINK("obsidian://open?vault=o2&amp;file=%E2%9A%A1%20Cheatsheets%20Library.md","⚡ Cheatsheets Library")</f>
        <v>⚡ Cheatsheets Library</v>
      </c>
      <c r="L37" s="20" t="s">
        <v>175</v>
      </c>
      <c r="M37" s="4"/>
      <c r="N37" s="2" t="s">
        <v>2606</v>
      </c>
      <c r="O37" s="2"/>
      <c r="P37" s="4">
        <v>2</v>
      </c>
      <c r="Q37" s="2" t="s">
        <v>2610</v>
      </c>
      <c r="R37" s="11">
        <f>SUBTOTAL(3,_xlfn.SINGLE(tbl_file[RowId]))</f>
        <v>1</v>
      </c>
    </row>
    <row r="38" spans="10:18">
      <c r="J38" s="4">
        <v>142</v>
      </c>
      <c r="K38" s="21" t="str">
        <f>HYPERLINK("obsidian://open?vault=o2&amp;file=%E2%9A%A1%20Coding.md","⚡ Coding")</f>
        <v>⚡ Coding</v>
      </c>
      <c r="L38" s="20" t="s">
        <v>175</v>
      </c>
      <c r="M38" s="4"/>
      <c r="N38" s="2" t="s">
        <v>31</v>
      </c>
      <c r="O38" s="2"/>
      <c r="P38" s="4">
        <v>1</v>
      </c>
      <c r="Q38" s="2" t="s">
        <v>441</v>
      </c>
      <c r="R38" s="11">
        <f>SUBTOTAL(3,_xlfn.SINGLE(tbl_file[RowId]))</f>
        <v>1</v>
      </c>
    </row>
    <row r="39" spans="10:18">
      <c r="J39" s="4">
        <v>143</v>
      </c>
      <c r="K39" s="21" t="str">
        <f>HYPERLINK("obsidian://open?vault=o2&amp;file=%E2%9A%A1%20Coding.md","⚡ Coding")</f>
        <v>⚡ Coding</v>
      </c>
      <c r="L39" s="20" t="s">
        <v>175</v>
      </c>
      <c r="M39" s="4"/>
      <c r="N39" s="2" t="s">
        <v>50</v>
      </c>
      <c r="O39" s="2"/>
      <c r="P39" s="4">
        <v>1</v>
      </c>
      <c r="Q39" s="2" t="s">
        <v>1598</v>
      </c>
      <c r="R39" s="11">
        <f>SUBTOTAL(3,_xlfn.SINGLE(tbl_file[RowId]))</f>
        <v>1</v>
      </c>
    </row>
    <row r="40" spans="10:18">
      <c r="J40" s="4">
        <v>144</v>
      </c>
      <c r="K40" s="21" t="str">
        <f>HYPERLINK("obsidian://open?vault=o2&amp;file=%E2%9A%A1%20Coding.md","⚡ Coding")</f>
        <v>⚡ Coding</v>
      </c>
      <c r="L40" s="20" t="s">
        <v>175</v>
      </c>
      <c r="M40" s="4"/>
      <c r="N40" s="2" t="s">
        <v>123</v>
      </c>
      <c r="O40" s="2"/>
      <c r="P40" s="4">
        <v>1</v>
      </c>
      <c r="Q40" s="2" t="s">
        <v>1813</v>
      </c>
      <c r="R40" s="11">
        <f>SUBTOTAL(3,_xlfn.SINGLE(tbl_file[RowId]))</f>
        <v>1</v>
      </c>
    </row>
    <row r="41" spans="10:18">
      <c r="J41" s="4">
        <v>145</v>
      </c>
      <c r="K41" s="21" t="str">
        <f>HYPERLINK("obsidian://open?vault=o2&amp;file=%E2%9A%A1%20Coding.md","⚡ Coding")</f>
        <v>⚡ Coding</v>
      </c>
      <c r="L41" s="20" t="s">
        <v>175</v>
      </c>
      <c r="M41" s="4"/>
      <c r="N41" s="2" t="s">
        <v>127</v>
      </c>
      <c r="O41" s="2"/>
      <c r="P41" s="4">
        <v>1</v>
      </c>
      <c r="Q41" s="2" t="s">
        <v>1938</v>
      </c>
      <c r="R41" s="11">
        <f>SUBTOTAL(3,_xlfn.SINGLE(tbl_file[RowId]))</f>
        <v>1</v>
      </c>
    </row>
    <row r="42" spans="10:18">
      <c r="J42" s="4">
        <v>146</v>
      </c>
      <c r="K42" s="21" t="str">
        <f>HYPERLINK("obsidian://open?vault=o2&amp;file=%E2%9A%A1%20Coding.md","⚡ Coding")</f>
        <v>⚡ Coding</v>
      </c>
      <c r="L42" s="20" t="s">
        <v>175</v>
      </c>
      <c r="M42" s="4"/>
      <c r="N42" s="2" t="s">
        <v>2606</v>
      </c>
      <c r="O42" s="2"/>
      <c r="P42" s="4">
        <v>2</v>
      </c>
      <c r="Q42" s="2" t="s">
        <v>2610</v>
      </c>
      <c r="R42" s="11">
        <f>SUBTOTAL(3,_xlfn.SINGLE(tbl_file[RowId]))</f>
        <v>1</v>
      </c>
    </row>
    <row r="43" spans="10:18">
      <c r="J43" s="4">
        <v>151</v>
      </c>
      <c r="K43" s="21" t="str">
        <f>HYPERLINK("obsidian://open?vault=o2&amp;file=%E2%9A%A1%20Create%20a%20Recipe%20Cookbook.md","⚡ Create a Recipe Cookbook")</f>
        <v>⚡ Create a Recipe Cookbook</v>
      </c>
      <c r="L43" s="20" t="s">
        <v>175</v>
      </c>
      <c r="M43" s="4"/>
      <c r="N43" s="2" t="s">
        <v>31</v>
      </c>
      <c r="O43" s="2"/>
      <c r="P43" s="4">
        <v>1</v>
      </c>
      <c r="Q43" s="2" t="s">
        <v>443</v>
      </c>
      <c r="R43" s="11">
        <f>SUBTOTAL(3,_xlfn.SINGLE(tbl_file[RowId]))</f>
        <v>1</v>
      </c>
    </row>
    <row r="44" spans="10:18">
      <c r="J44" s="4">
        <v>152</v>
      </c>
      <c r="K44" s="21" t="str">
        <f>HYPERLINK("obsidian://open?vault=o2&amp;file=%E2%9A%A1%20Create%20a%20Recipe%20Cookbook.md","⚡ Create a Recipe Cookbook")</f>
        <v>⚡ Create a Recipe Cookbook</v>
      </c>
      <c r="L44" s="20" t="s">
        <v>175</v>
      </c>
      <c r="M44" s="4"/>
      <c r="N44" s="2" t="s">
        <v>50</v>
      </c>
      <c r="O44" s="2"/>
      <c r="P44" s="4">
        <v>1</v>
      </c>
      <c r="Q44" s="2" t="s">
        <v>1598</v>
      </c>
      <c r="R44" s="11">
        <f>SUBTOTAL(3,_xlfn.SINGLE(tbl_file[RowId]))</f>
        <v>1</v>
      </c>
    </row>
    <row r="45" spans="10:18">
      <c r="J45" s="4">
        <v>153</v>
      </c>
      <c r="K45" s="21" t="str">
        <f>HYPERLINK("obsidian://open?vault=o2&amp;file=%E2%9A%A1%20Create%20a%20Recipe%20Cookbook.md","⚡ Create a Recipe Cookbook")</f>
        <v>⚡ Create a Recipe Cookbook</v>
      </c>
      <c r="L45" s="20" t="s">
        <v>175</v>
      </c>
      <c r="M45" s="4"/>
      <c r="N45" s="2" t="s">
        <v>123</v>
      </c>
      <c r="O45" s="2"/>
      <c r="P45" s="4">
        <v>1</v>
      </c>
      <c r="Q45" s="2" t="s">
        <v>1694</v>
      </c>
      <c r="R45" s="11">
        <f>SUBTOTAL(3,_xlfn.SINGLE(tbl_file[RowId]))</f>
        <v>1</v>
      </c>
    </row>
    <row r="46" spans="10:18">
      <c r="J46" s="4">
        <v>154</v>
      </c>
      <c r="K46" s="21" t="str">
        <f>HYPERLINK("obsidian://open?vault=o2&amp;file=%E2%9A%A1%20Create%20a%20Recipe%20Cookbook.md","⚡ Create a Recipe Cookbook")</f>
        <v>⚡ Create a Recipe Cookbook</v>
      </c>
      <c r="L46" s="20" t="s">
        <v>175</v>
      </c>
      <c r="M46" s="4"/>
      <c r="N46" s="2" t="s">
        <v>127</v>
      </c>
      <c r="O46" s="2"/>
      <c r="P46" s="4">
        <v>1</v>
      </c>
      <c r="Q46" s="2" t="s">
        <v>1938</v>
      </c>
      <c r="R46" s="11">
        <f>SUBTOTAL(3,_xlfn.SINGLE(tbl_file[RowId]))</f>
        <v>1</v>
      </c>
    </row>
    <row r="47" spans="10:18">
      <c r="J47" s="4">
        <v>155</v>
      </c>
      <c r="K47" s="21" t="str">
        <f>HYPERLINK("obsidian://open?vault=o2&amp;file=%E2%9A%A1%20Create%20a%20Recipe%20Cookbook.md","⚡ Create a Recipe Cookbook")</f>
        <v>⚡ Create a Recipe Cookbook</v>
      </c>
      <c r="L47" s="20" t="s">
        <v>175</v>
      </c>
      <c r="M47" s="4"/>
      <c r="N47" s="2" t="s">
        <v>2606</v>
      </c>
      <c r="O47" s="2"/>
      <c r="P47" s="4">
        <v>2</v>
      </c>
      <c r="Q47" s="2" t="s">
        <v>2610</v>
      </c>
      <c r="R47" s="11">
        <f>SUBTOTAL(3,_xlfn.SINGLE(tbl_file[RowId]))</f>
        <v>1</v>
      </c>
    </row>
    <row r="48" spans="10:18">
      <c r="J48" s="4">
        <v>156</v>
      </c>
      <c r="K48" s="21" t="str">
        <f>HYPERLINK("obsidian://open?vault=o2&amp;file=%E2%9A%A1%20Debug%20metaCatchall%20Project.md","⚡ Debug metaCatchall Project")</f>
        <v>⚡ Debug metaCatchall Project</v>
      </c>
      <c r="L48" s="20" t="s">
        <v>175</v>
      </c>
      <c r="M48" s="4"/>
      <c r="N48" s="2" t="s">
        <v>31</v>
      </c>
      <c r="O48" s="2"/>
      <c r="P48" s="4">
        <v>1</v>
      </c>
      <c r="Q48" s="2" t="s">
        <v>441</v>
      </c>
      <c r="R48" s="11">
        <f>SUBTOTAL(3,_xlfn.SINGLE(tbl_file[RowId]))</f>
        <v>1</v>
      </c>
    </row>
    <row r="49" spans="10:18">
      <c r="J49" s="4">
        <v>157</v>
      </c>
      <c r="K49" s="21" t="str">
        <f>HYPERLINK("obsidian://open?vault=o2&amp;file=%E2%9A%A1%20Debug%20metaCatchall%20Project.md","⚡ Debug metaCatchall Project")</f>
        <v>⚡ Debug metaCatchall Project</v>
      </c>
      <c r="L49" s="20" t="s">
        <v>175</v>
      </c>
      <c r="M49" s="4"/>
      <c r="N49" s="2" t="s">
        <v>50</v>
      </c>
      <c r="O49" s="2"/>
      <c r="P49" s="4">
        <v>1</v>
      </c>
      <c r="Q49" s="2" t="s">
        <v>1598</v>
      </c>
      <c r="R49" s="11">
        <f>SUBTOTAL(3,_xlfn.SINGLE(tbl_file[RowId]))</f>
        <v>1</v>
      </c>
    </row>
    <row r="50" spans="10:18">
      <c r="J50" s="4">
        <v>158</v>
      </c>
      <c r="K50" s="21" t="str">
        <f>HYPERLINK("obsidian://open?vault=o2&amp;file=%E2%9A%A1%20Debug%20metaCatchall%20Project.md","⚡ Debug metaCatchall Project")</f>
        <v>⚡ Debug metaCatchall Project</v>
      </c>
      <c r="L50" s="20" t="s">
        <v>175</v>
      </c>
      <c r="M50" s="4"/>
      <c r="N50" s="2" t="s">
        <v>123</v>
      </c>
      <c r="O50" s="2"/>
      <c r="P50" s="4">
        <v>1</v>
      </c>
      <c r="Q50" s="2" t="s">
        <v>1813</v>
      </c>
      <c r="R50" s="11">
        <f>SUBTOTAL(3,_xlfn.SINGLE(tbl_file[RowId]))</f>
        <v>1</v>
      </c>
    </row>
    <row r="51" spans="10:18">
      <c r="J51" s="4">
        <v>159</v>
      </c>
      <c r="K51" s="21" t="str">
        <f>HYPERLINK("obsidian://open?vault=o2&amp;file=%E2%9A%A1%20Debug%20metaCatchall%20Project.md","⚡ Debug metaCatchall Project")</f>
        <v>⚡ Debug metaCatchall Project</v>
      </c>
      <c r="L51" s="20" t="s">
        <v>175</v>
      </c>
      <c r="M51" s="4"/>
      <c r="N51" s="2" t="s">
        <v>127</v>
      </c>
      <c r="O51" s="2"/>
      <c r="P51" s="4">
        <v>1</v>
      </c>
      <c r="Q51" s="2" t="s">
        <v>1938</v>
      </c>
      <c r="R51" s="11">
        <f>SUBTOTAL(3,_xlfn.SINGLE(tbl_file[RowId]))</f>
        <v>1</v>
      </c>
    </row>
    <row r="52" spans="10:18">
      <c r="J52" s="4">
        <v>160</v>
      </c>
      <c r="K52" s="21" t="str">
        <f>HYPERLINK("obsidian://open?vault=o2&amp;file=%E2%9A%A1%20Debug%20metaCatchall%20Project.md","⚡ Debug metaCatchall Project")</f>
        <v>⚡ Debug metaCatchall Project</v>
      </c>
      <c r="L52" s="20" t="s">
        <v>175</v>
      </c>
      <c r="M52" s="4"/>
      <c r="N52" s="2" t="s">
        <v>2606</v>
      </c>
      <c r="O52" s="2"/>
      <c r="P52" s="4">
        <v>2</v>
      </c>
      <c r="Q52" s="2" t="s">
        <v>2610</v>
      </c>
      <c r="R52" s="11">
        <f>SUBTOTAL(3,_xlfn.SINGLE(tbl_file[RowId]))</f>
        <v>1</v>
      </c>
    </row>
    <row r="53" spans="10:18">
      <c r="J53" s="4">
        <v>174</v>
      </c>
      <c r="K53" s="21" t="str">
        <f t="shared" ref="K53:K59" si="1">HYPERLINK("obsidian://open?vault=o2&amp;file=%E2%9A%A1%20Home%20Project.md","⚡ Home Project")</f>
        <v>⚡ Home Project</v>
      </c>
      <c r="L53" s="20" t="s">
        <v>175</v>
      </c>
      <c r="M53" s="4"/>
      <c r="N53" s="2" t="s">
        <v>14</v>
      </c>
      <c r="O53" s="2"/>
      <c r="P53" s="4">
        <v>1</v>
      </c>
      <c r="Q53" s="2" t="s">
        <v>346</v>
      </c>
      <c r="R53" s="11">
        <f>SUBTOTAL(3,_xlfn.SINGLE(tbl_file[RowId]))</f>
        <v>1</v>
      </c>
    </row>
    <row r="54" spans="10:18">
      <c r="J54" s="4">
        <v>175</v>
      </c>
      <c r="K54" s="21" t="str">
        <f t="shared" si="1"/>
        <v>⚡ Home Project</v>
      </c>
      <c r="L54" s="20" t="s">
        <v>175</v>
      </c>
      <c r="M54" s="4"/>
      <c r="N54" s="2" t="s">
        <v>31</v>
      </c>
      <c r="O54" s="2"/>
      <c r="P54" s="4">
        <v>1</v>
      </c>
      <c r="Q54" s="2" t="s">
        <v>443</v>
      </c>
      <c r="R54" s="11">
        <f>SUBTOTAL(3,_xlfn.SINGLE(tbl_file[RowId]))</f>
        <v>1</v>
      </c>
    </row>
    <row r="55" spans="10:18">
      <c r="J55" s="4">
        <v>176</v>
      </c>
      <c r="K55" s="21" t="str">
        <f t="shared" si="1"/>
        <v>⚡ Home Project</v>
      </c>
      <c r="L55" s="20" t="s">
        <v>175</v>
      </c>
      <c r="M55" s="4"/>
      <c r="N55" s="2" t="s">
        <v>50</v>
      </c>
      <c r="O55" s="2"/>
      <c r="P55" s="4">
        <v>1</v>
      </c>
      <c r="Q55" s="2" t="s">
        <v>1598</v>
      </c>
      <c r="R55" s="11">
        <f>SUBTOTAL(3,_xlfn.SINGLE(tbl_file[RowId]))</f>
        <v>1</v>
      </c>
    </row>
    <row r="56" spans="10:18">
      <c r="J56" s="4">
        <v>177</v>
      </c>
      <c r="K56" s="21" t="str">
        <f t="shared" si="1"/>
        <v>⚡ Home Project</v>
      </c>
      <c r="L56" s="20" t="s">
        <v>175</v>
      </c>
      <c r="M56" s="4"/>
      <c r="N56" s="2" t="s">
        <v>123</v>
      </c>
      <c r="O56" s="2"/>
      <c r="P56" s="4">
        <v>1</v>
      </c>
      <c r="Q56" s="2" t="s">
        <v>1868</v>
      </c>
      <c r="R56" s="11">
        <f>SUBTOTAL(3,_xlfn.SINGLE(tbl_file[RowId]))</f>
        <v>1</v>
      </c>
    </row>
    <row r="57" spans="10:18">
      <c r="J57" s="4">
        <v>178</v>
      </c>
      <c r="K57" s="21" t="str">
        <f t="shared" si="1"/>
        <v>⚡ Home Project</v>
      </c>
      <c r="L57" s="20" t="s">
        <v>175</v>
      </c>
      <c r="M57" s="4"/>
      <c r="N57" s="2" t="s">
        <v>127</v>
      </c>
      <c r="O57" s="2"/>
      <c r="P57" s="4">
        <v>1</v>
      </c>
      <c r="Q57" s="2" t="s">
        <v>1938</v>
      </c>
      <c r="R57" s="11">
        <f>SUBTOTAL(3,_xlfn.SINGLE(tbl_file[RowId]))</f>
        <v>1</v>
      </c>
    </row>
    <row r="58" spans="10:18">
      <c r="J58" s="4">
        <v>179</v>
      </c>
      <c r="K58" s="21" t="str">
        <f t="shared" si="1"/>
        <v>⚡ Home Project</v>
      </c>
      <c r="L58" s="20" t="s">
        <v>175</v>
      </c>
      <c r="M58" s="4"/>
      <c r="N58" s="2" t="s">
        <v>2606</v>
      </c>
      <c r="O58" s="2"/>
      <c r="P58" s="4">
        <v>2</v>
      </c>
      <c r="Q58" s="2" t="s">
        <v>2610</v>
      </c>
      <c r="R58" s="11">
        <f>SUBTOTAL(3,_xlfn.SINGLE(tbl_file[RowId]))</f>
        <v>1</v>
      </c>
    </row>
    <row r="59" spans="10:18">
      <c r="J59" s="4">
        <v>180</v>
      </c>
      <c r="K59" s="21" t="str">
        <f t="shared" si="1"/>
        <v>⚡ Home Project</v>
      </c>
      <c r="L59" s="20" t="s">
        <v>175</v>
      </c>
      <c r="M59" s="4"/>
      <c r="N59" s="2" t="s">
        <v>133</v>
      </c>
      <c r="O59" s="2"/>
      <c r="P59" s="4">
        <v>1</v>
      </c>
      <c r="Q59" s="2" t="s">
        <v>2643</v>
      </c>
      <c r="R59" s="11">
        <f>SUBTOTAL(3,_xlfn.SINGLE(tbl_file[RowId]))</f>
        <v>1</v>
      </c>
    </row>
    <row r="60" spans="10:18">
      <c r="J60" s="4">
        <v>190</v>
      </c>
      <c r="K60" s="21" t="str">
        <f>HYPERLINK("obsidian://open?vault=o2&amp;file=%E2%9A%A1%20Image%20Categorization%20Project.md","⚡ Image Categorization Project")</f>
        <v>⚡ Image Categorization Project</v>
      </c>
      <c r="L60" s="20" t="s">
        <v>175</v>
      </c>
      <c r="M60" s="4"/>
      <c r="N60" s="2" t="s">
        <v>31</v>
      </c>
      <c r="O60" s="2"/>
      <c r="P60" s="4">
        <v>1</v>
      </c>
      <c r="Q60" s="2" t="s">
        <v>441</v>
      </c>
      <c r="R60" s="11">
        <f>SUBTOTAL(3,_xlfn.SINGLE(tbl_file[RowId]))</f>
        <v>1</v>
      </c>
    </row>
    <row r="61" spans="10:18">
      <c r="J61" s="4">
        <v>191</v>
      </c>
      <c r="K61" s="21" t="str">
        <f>HYPERLINK("obsidian://open?vault=o2&amp;file=%E2%9A%A1%20Image%20Categorization%20Project.md","⚡ Image Categorization Project")</f>
        <v>⚡ Image Categorization Project</v>
      </c>
      <c r="L61" s="20" t="s">
        <v>175</v>
      </c>
      <c r="M61" s="4"/>
      <c r="N61" s="2" t="s">
        <v>50</v>
      </c>
      <c r="O61" s="2"/>
      <c r="P61" s="4">
        <v>1</v>
      </c>
      <c r="Q61" s="2" t="s">
        <v>1637</v>
      </c>
      <c r="R61" s="11">
        <f>SUBTOTAL(3,_xlfn.SINGLE(tbl_file[RowId]))</f>
        <v>1</v>
      </c>
    </row>
    <row r="62" spans="10:18">
      <c r="J62" s="4">
        <v>192</v>
      </c>
      <c r="K62" s="21" t="str">
        <f>HYPERLINK("obsidian://open?vault=o2&amp;file=%E2%9A%A1%20Image%20Categorization%20Project.md","⚡ Image Categorization Project")</f>
        <v>⚡ Image Categorization Project</v>
      </c>
      <c r="L62" s="20" t="s">
        <v>175</v>
      </c>
      <c r="M62" s="4"/>
      <c r="N62" s="2" t="s">
        <v>123</v>
      </c>
      <c r="O62" s="2"/>
      <c r="P62" s="4">
        <v>1</v>
      </c>
      <c r="Q62" s="2" t="s">
        <v>1813</v>
      </c>
      <c r="R62" s="11">
        <f>SUBTOTAL(3,_xlfn.SINGLE(tbl_file[RowId]))</f>
        <v>1</v>
      </c>
    </row>
    <row r="63" spans="10:18">
      <c r="J63" s="4">
        <v>193</v>
      </c>
      <c r="K63" s="21" t="str">
        <f>HYPERLINK("obsidian://open?vault=o2&amp;file=%E2%9A%A1%20Image%20Categorization%20Project.md","⚡ Image Categorization Project")</f>
        <v>⚡ Image Categorization Project</v>
      </c>
      <c r="L63" s="20" t="s">
        <v>175</v>
      </c>
      <c r="M63" s="4"/>
      <c r="N63" s="2" t="s">
        <v>127</v>
      </c>
      <c r="O63" s="2"/>
      <c r="P63" s="4">
        <v>1</v>
      </c>
      <c r="Q63" s="2" t="s">
        <v>1938</v>
      </c>
      <c r="R63" s="11">
        <f>SUBTOTAL(3,_xlfn.SINGLE(tbl_file[RowId]))</f>
        <v>1</v>
      </c>
    </row>
    <row r="64" spans="10:18">
      <c r="J64" s="4">
        <v>194</v>
      </c>
      <c r="K64" s="21" t="str">
        <f>HYPERLINK("obsidian://open?vault=o2&amp;file=%E2%9A%A1%20Image%20Categorization%20Project.md","⚡ Image Categorization Project")</f>
        <v>⚡ Image Categorization Project</v>
      </c>
      <c r="L64" s="20" t="s">
        <v>175</v>
      </c>
      <c r="M64" s="4"/>
      <c r="N64" s="2" t="s">
        <v>2606</v>
      </c>
      <c r="O64" s="2"/>
      <c r="P64" s="4">
        <v>2</v>
      </c>
      <c r="Q64" s="2" t="s">
        <v>2610</v>
      </c>
      <c r="R64" s="11">
        <f>SUBTOTAL(3,_xlfn.SINGLE(tbl_file[RowId]))</f>
        <v>1</v>
      </c>
    </row>
    <row r="65" spans="10:18">
      <c r="J65" s="4">
        <v>203</v>
      </c>
      <c r="K65" s="21" t="str">
        <f t="shared" ref="K65:K71" si="2">HYPERLINK("obsidian://open?vault=o2&amp;file=%E2%9A%A1%20Learn%20Python%20and%20OOP%20Project.md","⚡ Learn Python and OOP Project")</f>
        <v>⚡ Learn Python and OOP Project</v>
      </c>
      <c r="L65" s="20" t="s">
        <v>175</v>
      </c>
      <c r="M65" s="4"/>
      <c r="N65" s="2" t="s">
        <v>23</v>
      </c>
      <c r="O65" s="2"/>
      <c r="P65" s="4">
        <v>2</v>
      </c>
      <c r="Q65" s="2" t="s">
        <v>2644</v>
      </c>
      <c r="R65" s="11">
        <f>SUBTOTAL(3,_xlfn.SINGLE(tbl_file[RowId]))</f>
        <v>1</v>
      </c>
    </row>
    <row r="66" spans="10:18">
      <c r="J66" s="4">
        <v>204</v>
      </c>
      <c r="K66" s="21" t="str">
        <f t="shared" si="2"/>
        <v>⚡ Learn Python and OOP Project</v>
      </c>
      <c r="L66" s="20" t="s">
        <v>175</v>
      </c>
      <c r="M66" s="4"/>
      <c r="N66" s="2" t="s">
        <v>31</v>
      </c>
      <c r="O66" s="2" t="s">
        <v>2645</v>
      </c>
      <c r="P66" s="4">
        <v>1</v>
      </c>
      <c r="Q66" s="2" t="s">
        <v>2634</v>
      </c>
      <c r="R66" s="11">
        <f>SUBTOTAL(3,_xlfn.SINGLE(tbl_file[RowId]))</f>
        <v>1</v>
      </c>
    </row>
    <row r="67" spans="10:18">
      <c r="J67" s="4">
        <v>205</v>
      </c>
      <c r="K67" s="21" t="str">
        <f t="shared" si="2"/>
        <v>⚡ Learn Python and OOP Project</v>
      </c>
      <c r="L67" s="20" t="s">
        <v>175</v>
      </c>
      <c r="M67" s="4"/>
      <c r="N67" s="2" t="s">
        <v>50</v>
      </c>
      <c r="O67" s="2" t="s">
        <v>2646</v>
      </c>
      <c r="P67" s="4">
        <v>1</v>
      </c>
      <c r="Q67" s="2" t="s">
        <v>1598</v>
      </c>
      <c r="R67" s="11">
        <f>SUBTOTAL(3,_xlfn.SINGLE(tbl_file[RowId]))</f>
        <v>1</v>
      </c>
    </row>
    <row r="68" spans="10:18">
      <c r="J68" s="4">
        <v>206</v>
      </c>
      <c r="K68" s="21" t="str">
        <f t="shared" si="2"/>
        <v>⚡ Learn Python and OOP Project</v>
      </c>
      <c r="L68" s="20" t="s">
        <v>175</v>
      </c>
      <c r="M68" s="4"/>
      <c r="N68" s="2" t="s">
        <v>123</v>
      </c>
      <c r="O68" s="2" t="s">
        <v>2635</v>
      </c>
      <c r="P68" s="4">
        <v>1</v>
      </c>
      <c r="Q68" s="2" t="s">
        <v>1813</v>
      </c>
      <c r="R68" s="11">
        <f>SUBTOTAL(3,_xlfn.SINGLE(tbl_file[RowId]))</f>
        <v>1</v>
      </c>
    </row>
    <row r="69" spans="10:18">
      <c r="J69" s="4">
        <v>207</v>
      </c>
      <c r="K69" s="21" t="str">
        <f t="shared" si="2"/>
        <v>⚡ Learn Python and OOP Project</v>
      </c>
      <c r="L69" s="20" t="s">
        <v>175</v>
      </c>
      <c r="M69" s="4"/>
      <c r="N69" s="2" t="s">
        <v>127</v>
      </c>
      <c r="O69" s="2"/>
      <c r="P69" s="4">
        <v>1</v>
      </c>
      <c r="Q69" s="2" t="s">
        <v>1938</v>
      </c>
      <c r="R69" s="11">
        <f>SUBTOTAL(3,_xlfn.SINGLE(tbl_file[RowId]))</f>
        <v>1</v>
      </c>
    </row>
    <row r="70" spans="10:18">
      <c r="J70" s="4">
        <v>208</v>
      </c>
      <c r="K70" s="21" t="str">
        <f t="shared" si="2"/>
        <v>⚡ Learn Python and OOP Project</v>
      </c>
      <c r="L70" s="20" t="s">
        <v>175</v>
      </c>
      <c r="M70" s="4"/>
      <c r="N70" s="2" t="s">
        <v>2606</v>
      </c>
      <c r="O70" s="2"/>
      <c r="P70" s="4">
        <v>2</v>
      </c>
      <c r="Q70" s="2" t="s">
        <v>2610</v>
      </c>
      <c r="R70" s="11">
        <f>SUBTOTAL(3,_xlfn.SINGLE(tbl_file[RowId]))</f>
        <v>1</v>
      </c>
    </row>
    <row r="71" spans="10:18">
      <c r="J71" s="4">
        <v>209</v>
      </c>
      <c r="K71" s="21" t="str">
        <f t="shared" si="2"/>
        <v>⚡ Learn Python and OOP Project</v>
      </c>
      <c r="L71" s="20" t="s">
        <v>175</v>
      </c>
      <c r="M71" s="4"/>
      <c r="N71" s="2" t="s">
        <v>133</v>
      </c>
      <c r="O71" s="2" t="s">
        <v>2637</v>
      </c>
      <c r="P71" s="4">
        <v>1</v>
      </c>
      <c r="Q71" s="2" t="s">
        <v>2647</v>
      </c>
      <c r="R71" s="11">
        <f>SUBTOTAL(3,_xlfn.SINGLE(tbl_file[RowId]))</f>
        <v>1</v>
      </c>
    </row>
    <row r="72" spans="10:18">
      <c r="J72" s="4">
        <v>276</v>
      </c>
      <c r="K72" s="21" t="str">
        <f>HYPERLINK("obsidian://open?vault=o2&amp;file=%E2%9A%A1%20Learning%20iOS%20Project.md","⚡ Learning iOS Project")</f>
        <v>⚡ Learning iOS Project</v>
      </c>
      <c r="L72" s="20" t="s">
        <v>175</v>
      </c>
      <c r="M72" s="4"/>
      <c r="N72" s="2" t="s">
        <v>31</v>
      </c>
      <c r="O72" s="2"/>
      <c r="P72" s="4">
        <v>1</v>
      </c>
      <c r="Q72" s="2" t="s">
        <v>443</v>
      </c>
      <c r="R72" s="11">
        <f>SUBTOTAL(3,_xlfn.SINGLE(tbl_file[RowId]))</f>
        <v>1</v>
      </c>
    </row>
    <row r="73" spans="10:18">
      <c r="J73" s="4">
        <v>277</v>
      </c>
      <c r="K73" s="21" t="str">
        <f>HYPERLINK("obsidian://open?vault=o2&amp;file=%E2%9A%A1%20Learning%20iOS%20Project.md","⚡ Learning iOS Project")</f>
        <v>⚡ Learning iOS Project</v>
      </c>
      <c r="L73" s="20" t="s">
        <v>175</v>
      </c>
      <c r="M73" s="4"/>
      <c r="N73" s="2" t="s">
        <v>50</v>
      </c>
      <c r="O73" s="2"/>
      <c r="P73" s="4">
        <v>1</v>
      </c>
      <c r="Q73" s="2" t="s">
        <v>1598</v>
      </c>
      <c r="R73" s="11">
        <f>SUBTOTAL(3,_xlfn.SINGLE(tbl_file[RowId]))</f>
        <v>1</v>
      </c>
    </row>
    <row r="74" spans="10:18">
      <c r="J74" s="4">
        <v>278</v>
      </c>
      <c r="K74" s="21" t="str">
        <f>HYPERLINK("obsidian://open?vault=o2&amp;file=%E2%9A%A1%20Learning%20iOS%20Project.md","⚡ Learning iOS Project")</f>
        <v>⚡ Learning iOS Project</v>
      </c>
      <c r="L74" s="20" t="s">
        <v>175</v>
      </c>
      <c r="M74" s="4"/>
      <c r="N74" s="2" t="s">
        <v>123</v>
      </c>
      <c r="O74" s="2"/>
      <c r="P74" s="4">
        <v>1</v>
      </c>
      <c r="Q74" s="2" t="s">
        <v>1813</v>
      </c>
      <c r="R74" s="11">
        <f>SUBTOTAL(3,_xlfn.SINGLE(tbl_file[RowId]))</f>
        <v>1</v>
      </c>
    </row>
    <row r="75" spans="10:18">
      <c r="J75" s="4">
        <v>279</v>
      </c>
      <c r="K75" s="21" t="str">
        <f>HYPERLINK("obsidian://open?vault=o2&amp;file=%E2%9A%A1%20Learning%20iOS%20Project.md","⚡ Learning iOS Project")</f>
        <v>⚡ Learning iOS Project</v>
      </c>
      <c r="L75" s="20" t="s">
        <v>175</v>
      </c>
      <c r="M75" s="4"/>
      <c r="N75" s="2" t="s">
        <v>127</v>
      </c>
      <c r="O75" s="2"/>
      <c r="P75" s="4">
        <v>1</v>
      </c>
      <c r="Q75" s="2" t="s">
        <v>1938</v>
      </c>
      <c r="R75" s="11">
        <f>SUBTOTAL(3,_xlfn.SINGLE(tbl_file[RowId]))</f>
        <v>1</v>
      </c>
    </row>
    <row r="76" spans="10:18">
      <c r="J76" s="4">
        <v>280</v>
      </c>
      <c r="K76" s="21" t="str">
        <f>HYPERLINK("obsidian://open?vault=o2&amp;file=%E2%9A%A1%20Learning%20iOS%20Project.md","⚡ Learning iOS Project")</f>
        <v>⚡ Learning iOS Project</v>
      </c>
      <c r="L76" s="20" t="s">
        <v>175</v>
      </c>
      <c r="M76" s="4"/>
      <c r="N76" s="2" t="s">
        <v>2606</v>
      </c>
      <c r="O76" s="2"/>
      <c r="P76" s="4">
        <v>2</v>
      </c>
      <c r="Q76" s="2" t="s">
        <v>2610</v>
      </c>
      <c r="R76" s="11">
        <f>SUBTOTAL(3,_xlfn.SINGLE(tbl_file[RowId]))</f>
        <v>1</v>
      </c>
    </row>
    <row r="77" spans="10:18">
      <c r="J77" s="4">
        <v>261</v>
      </c>
      <c r="K77" s="21" t="str">
        <f>HYPERLINK("obsidian://open?vault=o2&amp;file=%E2%9A%A1%20Learning%20Obsidian%20Project.md","⚡ Learning Obsidian Project")</f>
        <v>⚡ Learning Obsidian Project</v>
      </c>
      <c r="L77" s="20" t="s">
        <v>175</v>
      </c>
      <c r="M77" s="4"/>
      <c r="N77" s="2" t="s">
        <v>31</v>
      </c>
      <c r="O77" s="2"/>
      <c r="P77" s="4">
        <v>1</v>
      </c>
      <c r="Q77" s="2" t="s">
        <v>441</v>
      </c>
      <c r="R77" s="11">
        <f>SUBTOTAL(3,_xlfn.SINGLE(tbl_file[RowId]))</f>
        <v>1</v>
      </c>
    </row>
    <row r="78" spans="10:18">
      <c r="J78" s="4">
        <v>262</v>
      </c>
      <c r="K78" s="21" t="str">
        <f>HYPERLINK("obsidian://open?vault=o2&amp;file=%E2%9A%A1%20Learning%20Obsidian%20Project.md","⚡ Learning Obsidian Project")</f>
        <v>⚡ Learning Obsidian Project</v>
      </c>
      <c r="L78" s="20" t="s">
        <v>175</v>
      </c>
      <c r="M78" s="4"/>
      <c r="N78" s="2" t="s">
        <v>50</v>
      </c>
      <c r="O78" s="2"/>
      <c r="P78" s="4">
        <v>3</v>
      </c>
      <c r="Q78" s="2" t="s">
        <v>2656</v>
      </c>
      <c r="R78" s="11">
        <f>SUBTOTAL(3,_xlfn.SINGLE(tbl_file[RowId]))</f>
        <v>1</v>
      </c>
    </row>
    <row r="79" spans="10:18">
      <c r="J79" s="4">
        <v>263</v>
      </c>
      <c r="K79" s="21" t="str">
        <f>HYPERLINK("obsidian://open?vault=o2&amp;file=%E2%9A%A1%20Learning%20Obsidian%20Project.md","⚡ Learning Obsidian Project")</f>
        <v>⚡ Learning Obsidian Project</v>
      </c>
      <c r="L79" s="20" t="s">
        <v>175</v>
      </c>
      <c r="M79" s="4"/>
      <c r="N79" s="2" t="s">
        <v>123</v>
      </c>
      <c r="O79" s="2"/>
      <c r="P79" s="4">
        <v>1</v>
      </c>
      <c r="Q79" s="2" t="s">
        <v>1564</v>
      </c>
      <c r="R79" s="11">
        <f>SUBTOTAL(3,_xlfn.SINGLE(tbl_file[RowId]))</f>
        <v>1</v>
      </c>
    </row>
    <row r="80" spans="10:18">
      <c r="J80" s="4">
        <v>264</v>
      </c>
      <c r="K80" s="21" t="str">
        <f>HYPERLINK("obsidian://open?vault=o2&amp;file=%E2%9A%A1%20Learning%20Obsidian%20Project.md","⚡ Learning Obsidian Project")</f>
        <v>⚡ Learning Obsidian Project</v>
      </c>
      <c r="L80" s="20" t="s">
        <v>175</v>
      </c>
      <c r="M80" s="4"/>
      <c r="N80" s="2" t="s">
        <v>127</v>
      </c>
      <c r="O80" s="2"/>
      <c r="P80" s="4">
        <v>1</v>
      </c>
      <c r="Q80" s="2" t="s">
        <v>1938</v>
      </c>
      <c r="R80" s="11">
        <f>SUBTOTAL(3,_xlfn.SINGLE(tbl_file[RowId]))</f>
        <v>1</v>
      </c>
    </row>
    <row r="81" spans="10:18">
      <c r="J81" s="4">
        <v>265</v>
      </c>
      <c r="K81" s="21" t="str">
        <f>HYPERLINK("obsidian://open?vault=o2&amp;file=%E2%9A%A1%20Learning%20Obsidian%20Project.md","⚡ Learning Obsidian Project")</f>
        <v>⚡ Learning Obsidian Project</v>
      </c>
      <c r="L81" s="20" t="s">
        <v>175</v>
      </c>
      <c r="M81" s="4"/>
      <c r="N81" s="2" t="s">
        <v>2606</v>
      </c>
      <c r="O81" s="2"/>
      <c r="P81" s="4">
        <v>2</v>
      </c>
      <c r="Q81" s="2" t="s">
        <v>2610</v>
      </c>
      <c r="R81" s="11">
        <f>SUBTOTAL(3,_xlfn.SINGLE(tbl_file[RowId]))</f>
        <v>1</v>
      </c>
    </row>
    <row r="82" spans="10:18">
      <c r="J82" s="4">
        <v>297</v>
      </c>
      <c r="K82" s="21" t="str">
        <f>HYPERLINK("obsidian://open?vault=o2&amp;file=%E2%9A%A1%20Media%20Project.md","⚡ Media Project")</f>
        <v>⚡ Media Project</v>
      </c>
      <c r="L82" s="20" t="s">
        <v>175</v>
      </c>
      <c r="M82" s="4"/>
      <c r="N82" s="2" t="s">
        <v>31</v>
      </c>
      <c r="O82" s="2"/>
      <c r="P82" s="4">
        <v>1</v>
      </c>
      <c r="Q82" s="2" t="s">
        <v>443</v>
      </c>
      <c r="R82" s="11">
        <f>SUBTOTAL(3,_xlfn.SINGLE(tbl_file[RowId]))</f>
        <v>1</v>
      </c>
    </row>
    <row r="83" spans="10:18">
      <c r="J83" s="4">
        <v>298</v>
      </c>
      <c r="K83" s="21" t="str">
        <f>HYPERLINK("obsidian://open?vault=o2&amp;file=%E2%9A%A1%20Media%20Project.md","⚡ Media Project")</f>
        <v>⚡ Media Project</v>
      </c>
      <c r="L83" s="20" t="s">
        <v>175</v>
      </c>
      <c r="M83" s="4"/>
      <c r="N83" s="2" t="s">
        <v>50</v>
      </c>
      <c r="O83" s="2"/>
      <c r="P83" s="4">
        <v>1</v>
      </c>
      <c r="Q83" s="2" t="s">
        <v>1598</v>
      </c>
      <c r="R83" s="11">
        <f>SUBTOTAL(3,_xlfn.SINGLE(tbl_file[RowId]))</f>
        <v>1</v>
      </c>
    </row>
    <row r="84" spans="10:18">
      <c r="J84" s="4">
        <v>299</v>
      </c>
      <c r="K84" s="21" t="str">
        <f>HYPERLINK("obsidian://open?vault=o2&amp;file=%E2%9A%A1%20Media%20Project.md","⚡ Media Project")</f>
        <v>⚡ Media Project</v>
      </c>
      <c r="L84" s="20" t="s">
        <v>175</v>
      </c>
      <c r="M84" s="4"/>
      <c r="N84" s="2" t="s">
        <v>123</v>
      </c>
      <c r="O84" s="2"/>
      <c r="P84" s="4">
        <v>1</v>
      </c>
      <c r="Q84" s="2" t="s">
        <v>1645</v>
      </c>
      <c r="R84" s="11">
        <f>SUBTOTAL(3,_xlfn.SINGLE(tbl_file[RowId]))</f>
        <v>1</v>
      </c>
    </row>
    <row r="85" spans="10:18">
      <c r="J85" s="4">
        <v>300</v>
      </c>
      <c r="K85" s="21" t="str">
        <f>HYPERLINK("obsidian://open?vault=o2&amp;file=%E2%9A%A1%20Media%20Project.md","⚡ Media Project")</f>
        <v>⚡ Media Project</v>
      </c>
      <c r="L85" s="20" t="s">
        <v>175</v>
      </c>
      <c r="M85" s="4"/>
      <c r="N85" s="2" t="s">
        <v>127</v>
      </c>
      <c r="O85" s="2"/>
      <c r="P85" s="4">
        <v>1</v>
      </c>
      <c r="Q85" s="2" t="s">
        <v>1938</v>
      </c>
      <c r="R85" s="11">
        <f>SUBTOTAL(3,_xlfn.SINGLE(tbl_file[RowId]))</f>
        <v>1</v>
      </c>
    </row>
    <row r="86" spans="10:18">
      <c r="J86" s="4">
        <v>301</v>
      </c>
      <c r="K86" s="21" t="str">
        <f>HYPERLINK("obsidian://open?vault=o2&amp;file=%E2%9A%A1%20Media%20Project.md","⚡ Media Project")</f>
        <v>⚡ Media Project</v>
      </c>
      <c r="L86" s="20" t="s">
        <v>175</v>
      </c>
      <c r="M86" s="4"/>
      <c r="N86" s="2" t="s">
        <v>2606</v>
      </c>
      <c r="O86" s="2"/>
      <c r="P86" s="4">
        <v>3</v>
      </c>
      <c r="Q86" s="2" t="s">
        <v>2662</v>
      </c>
      <c r="R86" s="11">
        <f>SUBTOTAL(3,_xlfn.SINGLE(tbl_file[RowId]))</f>
        <v>1</v>
      </c>
    </row>
    <row r="87" spans="10:18">
      <c r="J87" s="4">
        <v>302</v>
      </c>
      <c r="K87" s="21" t="str">
        <f>HYPERLINK("obsidian://open?vault=o2&amp;file=%E2%9A%A1%20Money%20Management%20Project.md","⚡ Money Management Project")</f>
        <v>⚡ Money Management Project</v>
      </c>
      <c r="L87" s="20" t="s">
        <v>175</v>
      </c>
      <c r="M87" s="4"/>
      <c r="N87" s="2" t="s">
        <v>12</v>
      </c>
      <c r="O87" s="2"/>
      <c r="P87" s="4">
        <v>1</v>
      </c>
      <c r="Q87" s="2" t="s">
        <v>268</v>
      </c>
      <c r="R87" s="11">
        <f>SUBTOTAL(3,_xlfn.SINGLE(tbl_file[RowId]))</f>
        <v>1</v>
      </c>
    </row>
    <row r="88" spans="10:18">
      <c r="J88" s="4">
        <v>303</v>
      </c>
      <c r="K88" s="21" t="str">
        <f>HYPERLINK("obsidian://open?vault=o2&amp;file=%E2%9A%A1%20Money%20Management%20Project.md","⚡ Money Management Project")</f>
        <v>⚡ Money Management Project</v>
      </c>
      <c r="L88" s="20" t="s">
        <v>175</v>
      </c>
      <c r="M88" s="4"/>
      <c r="N88" s="2" t="s">
        <v>31</v>
      </c>
      <c r="O88" s="2"/>
      <c r="P88" s="4">
        <v>1</v>
      </c>
      <c r="Q88" s="2" t="s">
        <v>443</v>
      </c>
      <c r="R88" s="11">
        <f>SUBTOTAL(3,_xlfn.SINGLE(tbl_file[RowId]))</f>
        <v>1</v>
      </c>
    </row>
    <row r="89" spans="10:18">
      <c r="J89" s="4">
        <v>304</v>
      </c>
      <c r="K89" s="21" t="str">
        <f>HYPERLINK("obsidian://open?vault=o2&amp;file=%E2%9A%A1%20Money%20Management%20Project.md","⚡ Money Management Project")</f>
        <v>⚡ Money Management Project</v>
      </c>
      <c r="L89" s="20" t="s">
        <v>175</v>
      </c>
      <c r="M89" s="4"/>
      <c r="N89" s="2" t="s">
        <v>50</v>
      </c>
      <c r="O89" s="2"/>
      <c r="P89" s="4">
        <v>1</v>
      </c>
      <c r="Q89" s="2" t="s">
        <v>1598</v>
      </c>
      <c r="R89" s="11">
        <f>SUBTOTAL(3,_xlfn.SINGLE(tbl_file[RowId]))</f>
        <v>1</v>
      </c>
    </row>
    <row r="90" spans="10:18">
      <c r="J90" s="4">
        <v>305</v>
      </c>
      <c r="K90" s="21" t="str">
        <f>HYPERLINK("obsidian://open?vault=o2&amp;file=%E2%9A%A1%20Money%20Management%20Project.md","⚡ Money Management Project")</f>
        <v>⚡ Money Management Project</v>
      </c>
      <c r="L90" s="20" t="s">
        <v>175</v>
      </c>
      <c r="M90" s="4"/>
      <c r="N90" s="2" t="s">
        <v>127</v>
      </c>
      <c r="O90" s="2"/>
      <c r="P90" s="4">
        <v>1</v>
      </c>
      <c r="Q90" s="2" t="s">
        <v>1938</v>
      </c>
      <c r="R90" s="11">
        <f>SUBTOTAL(3,_xlfn.SINGLE(tbl_file[RowId]))</f>
        <v>1</v>
      </c>
    </row>
    <row r="91" spans="10:18">
      <c r="J91" s="4">
        <v>306</v>
      </c>
      <c r="K91" s="21" t="str">
        <f>HYPERLINK("obsidian://open?vault=o2&amp;file=%E2%9A%A1%20Money%20Management%20Project.md","⚡ Money Management Project")</f>
        <v>⚡ Money Management Project</v>
      </c>
      <c r="L91" s="20" t="s">
        <v>175</v>
      </c>
      <c r="M91" s="4"/>
      <c r="N91" s="2" t="s">
        <v>2606</v>
      </c>
      <c r="O91" s="2"/>
      <c r="P91" s="4">
        <v>2</v>
      </c>
      <c r="Q91" s="2" t="s">
        <v>2610</v>
      </c>
      <c r="R91" s="11">
        <f>SUBTOTAL(3,_xlfn.SINGLE(tbl_file[RowId]))</f>
        <v>1</v>
      </c>
    </row>
    <row r="92" spans="10:18">
      <c r="J92" s="4">
        <v>307</v>
      </c>
      <c r="K92" s="21" t="str">
        <f>HYPERLINK("obsidian://open?vault=o2&amp;file=%E2%9A%A1%20My%20Projects.md","⚡ My Projects")</f>
        <v>⚡ My Projects</v>
      </c>
      <c r="L92" s="20" t="s">
        <v>175</v>
      </c>
      <c r="M92" s="4"/>
      <c r="N92" s="2" t="s">
        <v>23</v>
      </c>
      <c r="O92" s="2"/>
      <c r="P92" s="4">
        <v>1</v>
      </c>
      <c r="Q92" s="2" t="s">
        <v>429</v>
      </c>
      <c r="R92" s="11">
        <f>SUBTOTAL(3,_xlfn.SINGLE(tbl_file[RowId]))</f>
        <v>1</v>
      </c>
    </row>
    <row r="93" spans="10:18">
      <c r="J93" s="4">
        <v>308</v>
      </c>
      <c r="K93" s="21" t="str">
        <f>HYPERLINK("obsidian://open?vault=o2&amp;file=%E2%9A%A1%20My%20Projects.md","⚡ My Projects")</f>
        <v>⚡ My Projects</v>
      </c>
      <c r="L93" s="20" t="s">
        <v>175</v>
      </c>
      <c r="M93" s="4"/>
      <c r="N93" s="2" t="s">
        <v>50</v>
      </c>
      <c r="O93" s="2"/>
      <c r="P93" s="4">
        <v>1</v>
      </c>
      <c r="Q93" s="2" t="s">
        <v>1582</v>
      </c>
      <c r="R93" s="11">
        <f>SUBTOTAL(3,_xlfn.SINGLE(tbl_file[RowId]))</f>
        <v>1</v>
      </c>
    </row>
    <row r="94" spans="10:18">
      <c r="J94" s="4">
        <v>309</v>
      </c>
      <c r="K94" s="21" t="str">
        <f>HYPERLINK("obsidian://open?vault=o2&amp;file=%E2%9A%A1%20My%20Projects.md","⚡ My Projects")</f>
        <v>⚡ My Projects</v>
      </c>
      <c r="L94" s="20" t="s">
        <v>175</v>
      </c>
      <c r="M94" s="4"/>
      <c r="N94" s="2" t="s">
        <v>127</v>
      </c>
      <c r="O94" s="2"/>
      <c r="P94" s="4">
        <v>1</v>
      </c>
      <c r="Q94" s="2" t="s">
        <v>1958</v>
      </c>
      <c r="R94" s="11">
        <f>SUBTOTAL(3,_xlfn.SINGLE(tbl_file[RowId]))</f>
        <v>1</v>
      </c>
    </row>
    <row r="95" spans="10:18">
      <c r="J95" s="4">
        <v>310</v>
      </c>
      <c r="K95" s="21" t="str">
        <f>HYPERLINK("obsidian://open?vault=o2&amp;file=%E2%9A%A1%20My%20Projects.md","⚡ My Projects")</f>
        <v>⚡ My Projects</v>
      </c>
      <c r="L95" s="20" t="s">
        <v>175</v>
      </c>
      <c r="M95" s="4"/>
      <c r="N95" s="2" t="s">
        <v>2606</v>
      </c>
      <c r="O95" s="2"/>
      <c r="P95" s="4">
        <v>2</v>
      </c>
      <c r="Q95" s="2" t="s">
        <v>2663</v>
      </c>
      <c r="R95" s="11">
        <f>SUBTOTAL(3,_xlfn.SINGLE(tbl_file[RowId]))</f>
        <v>1</v>
      </c>
    </row>
    <row r="96" spans="10:18">
      <c r="J96" s="4">
        <v>311</v>
      </c>
      <c r="K96" s="21" t="str">
        <f>HYPERLINK("obsidian://open?vault=o2&amp;file=%E2%9A%A1%20My%20Projects.md","⚡ My Projects")</f>
        <v>⚡ My Projects</v>
      </c>
      <c r="L96" s="20" t="s">
        <v>175</v>
      </c>
      <c r="M96" s="4" t="s">
        <v>2626</v>
      </c>
      <c r="N96" s="2" t="s">
        <v>2606</v>
      </c>
      <c r="O96" s="2"/>
      <c r="P96" s="4">
        <v>1</v>
      </c>
      <c r="Q96" s="2" t="s">
        <v>2446</v>
      </c>
      <c r="R96" s="11">
        <f>SUBTOTAL(3,_xlfn.SINGLE(tbl_file[RowId]))</f>
        <v>1</v>
      </c>
    </row>
    <row r="97" spans="10:18">
      <c r="J97" s="4">
        <v>317</v>
      </c>
      <c r="K97" s="21" t="str">
        <f>HYPERLINK("obsidian://open?vault=o2&amp;file=%E2%9A%A1%20Office%20Desk%20Design%20Project.md","⚡ Office Desk Design Project")</f>
        <v>⚡ Office Desk Design Project</v>
      </c>
      <c r="L97" s="20" t="s">
        <v>175</v>
      </c>
      <c r="M97" s="4"/>
      <c r="N97" s="2" t="s">
        <v>31</v>
      </c>
      <c r="O97" s="2"/>
      <c r="P97" s="4">
        <v>1</v>
      </c>
      <c r="Q97" s="2" t="s">
        <v>2664</v>
      </c>
      <c r="R97" s="11">
        <f>SUBTOTAL(3,_xlfn.SINGLE(tbl_file[RowId]))</f>
        <v>1</v>
      </c>
    </row>
    <row r="98" spans="10:18">
      <c r="J98" s="4">
        <v>318</v>
      </c>
      <c r="K98" s="21" t="str">
        <f>HYPERLINK("obsidian://open?vault=o2&amp;file=%E2%9A%A1%20Office%20Desk%20Design%20Project.md","⚡ Office Desk Design Project")</f>
        <v>⚡ Office Desk Design Project</v>
      </c>
      <c r="L98" s="20" t="s">
        <v>175</v>
      </c>
      <c r="M98" s="4"/>
      <c r="N98" s="2" t="s">
        <v>50</v>
      </c>
      <c r="O98" s="2"/>
      <c r="P98" s="4">
        <v>1</v>
      </c>
      <c r="Q98" s="2" t="s">
        <v>1598</v>
      </c>
      <c r="R98" s="11">
        <f>SUBTOTAL(3,_xlfn.SINGLE(tbl_file[RowId]))</f>
        <v>1</v>
      </c>
    </row>
    <row r="99" spans="10:18">
      <c r="J99" s="4">
        <v>319</v>
      </c>
      <c r="K99" s="21" t="str">
        <f>HYPERLINK("obsidian://open?vault=o2&amp;file=%E2%9A%A1%20Office%20Desk%20Design%20Project.md","⚡ Office Desk Design Project")</f>
        <v>⚡ Office Desk Design Project</v>
      </c>
      <c r="L99" s="20" t="s">
        <v>175</v>
      </c>
      <c r="M99" s="4"/>
      <c r="N99" s="2" t="s">
        <v>123</v>
      </c>
      <c r="O99" s="2"/>
      <c r="P99" s="4">
        <v>1</v>
      </c>
      <c r="Q99" s="2" t="s">
        <v>1868</v>
      </c>
      <c r="R99" s="11">
        <f>SUBTOTAL(3,_xlfn.SINGLE(tbl_file[RowId]))</f>
        <v>1</v>
      </c>
    </row>
    <row r="100" spans="10:18">
      <c r="J100" s="4">
        <v>320</v>
      </c>
      <c r="K100" s="21" t="str">
        <f>HYPERLINK("obsidian://open?vault=o2&amp;file=%E2%9A%A1%20Office%20Desk%20Design%20Project.md","⚡ Office Desk Design Project")</f>
        <v>⚡ Office Desk Design Project</v>
      </c>
      <c r="L100" s="20" t="s">
        <v>175</v>
      </c>
      <c r="M100" s="4"/>
      <c r="N100" s="2" t="s">
        <v>127</v>
      </c>
      <c r="O100" s="2"/>
      <c r="P100" s="4">
        <v>1</v>
      </c>
      <c r="Q100" s="2" t="s">
        <v>1938</v>
      </c>
      <c r="R100" s="11">
        <f>SUBTOTAL(3,_xlfn.SINGLE(tbl_file[RowId]))</f>
        <v>1</v>
      </c>
    </row>
    <row r="101" spans="10:18">
      <c r="J101" s="4">
        <v>321</v>
      </c>
      <c r="K101" s="21" t="str">
        <f>HYPERLINK("obsidian://open?vault=o2&amp;file=%E2%9A%A1%20Office%20Desk%20Design%20Project.md","⚡ Office Desk Design Project")</f>
        <v>⚡ Office Desk Design Project</v>
      </c>
      <c r="L101" s="20" t="s">
        <v>175</v>
      </c>
      <c r="M101" s="4"/>
      <c r="N101" s="2" t="s">
        <v>2606</v>
      </c>
      <c r="O101" s="2"/>
      <c r="P101" s="4">
        <v>2</v>
      </c>
      <c r="Q101" s="2" t="s">
        <v>2665</v>
      </c>
      <c r="R101" s="11">
        <f>SUBTOTAL(3,_xlfn.SINGLE(tbl_file[RowId]))</f>
        <v>1</v>
      </c>
    </row>
    <row r="102" spans="10:18">
      <c r="J102" s="4">
        <v>324</v>
      </c>
      <c r="K102" s="21" t="str">
        <f>HYPERLINK("obsidian://open?vault=o2&amp;file=%E2%9A%A1%20Print%20On%20Demand%20Project.md","⚡ Print On Demand Project")</f>
        <v>⚡ Print On Demand Project</v>
      </c>
      <c r="L102" s="20" t="s">
        <v>175</v>
      </c>
      <c r="M102" s="4"/>
      <c r="N102" s="2" t="s">
        <v>12</v>
      </c>
      <c r="O102" s="2"/>
      <c r="P102" s="4">
        <v>1</v>
      </c>
      <c r="Q102" s="2" t="s">
        <v>268</v>
      </c>
      <c r="R102" s="11">
        <f>SUBTOTAL(3,_xlfn.SINGLE(tbl_file[RowId]))</f>
        <v>1</v>
      </c>
    </row>
    <row r="103" spans="10:18">
      <c r="J103" s="4">
        <v>325</v>
      </c>
      <c r="K103" s="21" t="str">
        <f>HYPERLINK("obsidian://open?vault=o2&amp;file=%E2%9A%A1%20Print%20On%20Demand%20Project.md","⚡ Print On Demand Project")</f>
        <v>⚡ Print On Demand Project</v>
      </c>
      <c r="L103" s="20" t="s">
        <v>175</v>
      </c>
      <c r="M103" s="4"/>
      <c r="N103" s="2" t="s">
        <v>31</v>
      </c>
      <c r="O103" s="2"/>
      <c r="P103" s="4">
        <v>1</v>
      </c>
      <c r="Q103" s="2" t="s">
        <v>443</v>
      </c>
      <c r="R103" s="11">
        <f>SUBTOTAL(3,_xlfn.SINGLE(tbl_file[RowId]))</f>
        <v>1</v>
      </c>
    </row>
    <row r="104" spans="10:18">
      <c r="J104" s="4">
        <v>326</v>
      </c>
      <c r="K104" s="21" t="str">
        <f>HYPERLINK("obsidian://open?vault=o2&amp;file=%E2%9A%A1%20Print%20On%20Demand%20Project.md","⚡ Print On Demand Project")</f>
        <v>⚡ Print On Demand Project</v>
      </c>
      <c r="L104" s="20" t="s">
        <v>175</v>
      </c>
      <c r="M104" s="4"/>
      <c r="N104" s="2" t="s">
        <v>50</v>
      </c>
      <c r="O104" s="2"/>
      <c r="P104" s="4">
        <v>1</v>
      </c>
      <c r="Q104" s="2" t="s">
        <v>1598</v>
      </c>
      <c r="R104" s="11">
        <f>SUBTOTAL(3,_xlfn.SINGLE(tbl_file[RowId]))</f>
        <v>1</v>
      </c>
    </row>
    <row r="105" spans="10:18">
      <c r="J105" s="4">
        <v>327</v>
      </c>
      <c r="K105" s="21" t="str">
        <f>HYPERLINK("obsidian://open?vault=o2&amp;file=%E2%9A%A1%20Print%20On%20Demand%20Project.md","⚡ Print On Demand Project")</f>
        <v>⚡ Print On Demand Project</v>
      </c>
      <c r="L105" s="20" t="s">
        <v>175</v>
      </c>
      <c r="M105" s="4"/>
      <c r="N105" s="2" t="s">
        <v>127</v>
      </c>
      <c r="O105" s="2"/>
      <c r="P105" s="4">
        <v>1</v>
      </c>
      <c r="Q105" s="2" t="s">
        <v>1938</v>
      </c>
      <c r="R105" s="11">
        <f>SUBTOTAL(3,_xlfn.SINGLE(tbl_file[RowId]))</f>
        <v>1</v>
      </c>
    </row>
    <row r="106" spans="10:18">
      <c r="J106" s="4">
        <v>328</v>
      </c>
      <c r="K106" s="21" t="str">
        <f>HYPERLINK("obsidian://open?vault=o2&amp;file=%E2%9A%A1%20Print%20On%20Demand%20Project.md","⚡ Print On Demand Project")</f>
        <v>⚡ Print On Demand Project</v>
      </c>
      <c r="L106" s="20" t="s">
        <v>175</v>
      </c>
      <c r="M106" s="4"/>
      <c r="N106" s="2" t="s">
        <v>2606</v>
      </c>
      <c r="O106" s="2"/>
      <c r="P106" s="4">
        <v>2</v>
      </c>
      <c r="Q106" s="2" t="s">
        <v>2610</v>
      </c>
      <c r="R106" s="11">
        <f>SUBTOTAL(3,_xlfn.SINGLE(tbl_file[RowId]))</f>
        <v>1</v>
      </c>
    </row>
    <row r="107" spans="10:18">
      <c r="J107" s="4">
        <v>355</v>
      </c>
      <c r="K107" s="21" t="str">
        <f>HYPERLINK("obsidian://open?vault=o2&amp;file=%E2%9A%A1%20Rebuild%20PC%20Project.md","⚡ Rebuild PC Project")</f>
        <v>⚡ Rebuild PC Project</v>
      </c>
      <c r="L107" s="20" t="s">
        <v>175</v>
      </c>
      <c r="M107" s="4"/>
      <c r="N107" s="2" t="s">
        <v>12</v>
      </c>
      <c r="O107" s="2"/>
      <c r="P107" s="4">
        <v>1</v>
      </c>
      <c r="Q107" s="2" t="s">
        <v>264</v>
      </c>
      <c r="R107" s="11">
        <f>SUBTOTAL(3,_xlfn.SINGLE(tbl_file[RowId]))</f>
        <v>1</v>
      </c>
    </row>
    <row r="108" spans="10:18">
      <c r="J108" s="4">
        <v>356</v>
      </c>
      <c r="K108" s="21" t="str">
        <f>HYPERLINK("obsidian://open?vault=o2&amp;file=%E2%9A%A1%20Rebuild%20PC%20Project.md","⚡ Rebuild PC Project")</f>
        <v>⚡ Rebuild PC Project</v>
      </c>
      <c r="L108" s="20" t="s">
        <v>175</v>
      </c>
      <c r="M108" s="4"/>
      <c r="N108" s="2" t="s">
        <v>31</v>
      </c>
      <c r="O108" s="2"/>
      <c r="P108" s="4">
        <v>1</v>
      </c>
      <c r="Q108" s="2" t="s">
        <v>441</v>
      </c>
      <c r="R108" s="11">
        <f>SUBTOTAL(3,_xlfn.SINGLE(tbl_file[RowId]))</f>
        <v>1</v>
      </c>
    </row>
    <row r="109" spans="10:18">
      <c r="J109" s="4">
        <v>357</v>
      </c>
      <c r="K109" s="21" t="str">
        <f>HYPERLINK("obsidian://open?vault=o2&amp;file=%E2%9A%A1%20Rebuild%20PC%20Project.md","⚡ Rebuild PC Project")</f>
        <v>⚡ Rebuild PC Project</v>
      </c>
      <c r="L109" s="20" t="s">
        <v>175</v>
      </c>
      <c r="M109" s="4"/>
      <c r="N109" s="2" t="s">
        <v>50</v>
      </c>
      <c r="O109" s="2"/>
      <c r="P109" s="4">
        <v>1</v>
      </c>
      <c r="Q109" s="2" t="s">
        <v>1598</v>
      </c>
      <c r="R109" s="11">
        <f>SUBTOTAL(3,_xlfn.SINGLE(tbl_file[RowId]))</f>
        <v>1</v>
      </c>
    </row>
    <row r="110" spans="10:18">
      <c r="J110" s="4">
        <v>358</v>
      </c>
      <c r="K110" s="21" t="str">
        <f>HYPERLINK("obsidian://open?vault=o2&amp;file=%E2%9A%A1%20Rebuild%20PC%20Project.md","⚡ Rebuild PC Project")</f>
        <v>⚡ Rebuild PC Project</v>
      </c>
      <c r="L110" s="20" t="s">
        <v>175</v>
      </c>
      <c r="M110" s="4"/>
      <c r="N110" s="2" t="s">
        <v>127</v>
      </c>
      <c r="O110" s="2"/>
      <c r="P110" s="4">
        <v>1</v>
      </c>
      <c r="Q110" s="2" t="s">
        <v>1938</v>
      </c>
      <c r="R110" s="11">
        <f>SUBTOTAL(3,_xlfn.SINGLE(tbl_file[RowId]))</f>
        <v>1</v>
      </c>
    </row>
    <row r="111" spans="10:18">
      <c r="J111" s="4">
        <v>359</v>
      </c>
      <c r="K111" s="21" t="str">
        <f>HYPERLINK("obsidian://open?vault=o2&amp;file=%E2%9A%A1%20Rebuild%20PC%20Project.md","⚡ Rebuild PC Project")</f>
        <v>⚡ Rebuild PC Project</v>
      </c>
      <c r="L111" s="20" t="s">
        <v>175</v>
      </c>
      <c r="M111" s="4"/>
      <c r="N111" s="2" t="s">
        <v>2606</v>
      </c>
      <c r="O111" s="2"/>
      <c r="P111" s="4">
        <v>2</v>
      </c>
      <c r="Q111" s="2" t="s">
        <v>2610</v>
      </c>
      <c r="R111" s="11">
        <f>SUBTOTAL(3,_xlfn.SINGLE(tbl_file[RowId]))</f>
        <v>1</v>
      </c>
    </row>
    <row r="112" spans="10:18">
      <c r="J112" s="4">
        <v>411</v>
      </c>
      <c r="K112" s="21" t="str">
        <f>HYPERLINK("obsidian://open?vault=o2&amp;file=%E2%9A%A1%20Recovery%20Project.md","⚡ Recovery Project")</f>
        <v>⚡ Recovery Project</v>
      </c>
      <c r="L112" s="20" t="s">
        <v>175</v>
      </c>
      <c r="M112" s="4"/>
      <c r="N112" s="2" t="s">
        <v>12</v>
      </c>
      <c r="O112" s="2"/>
      <c r="P112" s="4">
        <v>1</v>
      </c>
      <c r="Q112" s="2" t="s">
        <v>260</v>
      </c>
      <c r="R112" s="11">
        <f>SUBTOTAL(3,_xlfn.SINGLE(tbl_file[RowId]))</f>
        <v>1</v>
      </c>
    </row>
    <row r="113" spans="10:18">
      <c r="J113" s="4">
        <v>412</v>
      </c>
      <c r="K113" s="21" t="str">
        <f>HYPERLINK("obsidian://open?vault=o2&amp;file=%E2%9A%A1%20Recovery%20Project.md","⚡ Recovery Project")</f>
        <v>⚡ Recovery Project</v>
      </c>
      <c r="L113" s="20" t="s">
        <v>175</v>
      </c>
      <c r="M113" s="4"/>
      <c r="N113" s="2" t="s">
        <v>31</v>
      </c>
      <c r="O113" s="2"/>
      <c r="P113" s="4">
        <v>1</v>
      </c>
      <c r="Q113" s="2" t="s">
        <v>443</v>
      </c>
      <c r="R113" s="11">
        <f>SUBTOTAL(3,_xlfn.SINGLE(tbl_file[RowId]))</f>
        <v>1</v>
      </c>
    </row>
    <row r="114" spans="10:18">
      <c r="J114" s="4">
        <v>413</v>
      </c>
      <c r="K114" s="21" t="str">
        <f>HYPERLINK("obsidian://open?vault=o2&amp;file=%E2%9A%A1%20Recovery%20Project.md","⚡ Recovery Project")</f>
        <v>⚡ Recovery Project</v>
      </c>
      <c r="L114" s="20" t="s">
        <v>175</v>
      </c>
      <c r="M114" s="4"/>
      <c r="N114" s="2" t="s">
        <v>50</v>
      </c>
      <c r="O114" s="2"/>
      <c r="P114" s="4">
        <v>1</v>
      </c>
      <c r="Q114" s="2" t="s">
        <v>1598</v>
      </c>
      <c r="R114" s="11">
        <f>SUBTOTAL(3,_xlfn.SINGLE(tbl_file[RowId]))</f>
        <v>1</v>
      </c>
    </row>
    <row r="115" spans="10:18">
      <c r="J115" s="4">
        <v>414</v>
      </c>
      <c r="K115" s="21" t="str">
        <f>HYPERLINK("obsidian://open?vault=o2&amp;file=%E2%9A%A1%20Recovery%20Project.md","⚡ Recovery Project")</f>
        <v>⚡ Recovery Project</v>
      </c>
      <c r="L115" s="20" t="s">
        <v>175</v>
      </c>
      <c r="M115" s="4"/>
      <c r="N115" s="2" t="s">
        <v>127</v>
      </c>
      <c r="O115" s="2"/>
      <c r="P115" s="4">
        <v>1</v>
      </c>
      <c r="Q115" s="2" t="s">
        <v>1938</v>
      </c>
      <c r="R115" s="11">
        <f>SUBTOTAL(3,_xlfn.SINGLE(tbl_file[RowId]))</f>
        <v>1</v>
      </c>
    </row>
    <row r="116" spans="10:18">
      <c r="J116" s="4">
        <v>415</v>
      </c>
      <c r="K116" s="21" t="str">
        <f>HYPERLINK("obsidian://open?vault=o2&amp;file=%E2%9A%A1%20Recovery%20Project.md","⚡ Recovery Project")</f>
        <v>⚡ Recovery Project</v>
      </c>
      <c r="L116" s="20" t="s">
        <v>175</v>
      </c>
      <c r="M116" s="4"/>
      <c r="N116" s="2" t="s">
        <v>2606</v>
      </c>
      <c r="O116" s="2"/>
      <c r="P116" s="4">
        <v>2</v>
      </c>
      <c r="Q116" s="2" t="s">
        <v>2610</v>
      </c>
      <c r="R116" s="11">
        <f>SUBTOTAL(3,_xlfn.SINGLE(tbl_file[RowId]))</f>
        <v>1</v>
      </c>
    </row>
    <row r="117" spans="10:18">
      <c r="J117" s="4">
        <v>432</v>
      </c>
      <c r="K117" s="21" t="str">
        <f>HYPERLINK("obsidian://open?vault=o2&amp;file=%E2%9A%A1%20Setup%20Linode%20Server%20Project.md","⚡ Setup Linode Server Project")</f>
        <v>⚡ Setup Linode Server Project</v>
      </c>
      <c r="L117" s="20" t="s">
        <v>175</v>
      </c>
      <c r="M117" s="4"/>
      <c r="N117" s="2" t="s">
        <v>12</v>
      </c>
      <c r="O117" s="2"/>
      <c r="P117" s="4">
        <v>1</v>
      </c>
      <c r="Q117" s="2" t="s">
        <v>264</v>
      </c>
      <c r="R117" s="11">
        <f>SUBTOTAL(3,_xlfn.SINGLE(tbl_file[RowId]))</f>
        <v>1</v>
      </c>
    </row>
    <row r="118" spans="10:18">
      <c r="J118" s="4">
        <v>433</v>
      </c>
      <c r="K118" s="21" t="str">
        <f>HYPERLINK("obsidian://open?vault=o2&amp;file=%E2%9A%A1%20Setup%20Linode%20Server%20Project.md","⚡ Setup Linode Server Project")</f>
        <v>⚡ Setup Linode Server Project</v>
      </c>
      <c r="L118" s="20" t="s">
        <v>175</v>
      </c>
      <c r="M118" s="4"/>
      <c r="N118" s="2" t="s">
        <v>31</v>
      </c>
      <c r="O118" s="2"/>
      <c r="P118" s="4">
        <v>1</v>
      </c>
      <c r="Q118" s="2" t="s">
        <v>2608</v>
      </c>
      <c r="R118" s="11">
        <f>SUBTOTAL(3,_xlfn.SINGLE(tbl_file[RowId]))</f>
        <v>1</v>
      </c>
    </row>
    <row r="119" spans="10:18">
      <c r="J119" s="4">
        <v>434</v>
      </c>
      <c r="K119" s="21" t="str">
        <f>HYPERLINK("obsidian://open?vault=o2&amp;file=%E2%9A%A1%20Setup%20Linode%20Server%20Project.md","⚡ Setup Linode Server Project")</f>
        <v>⚡ Setup Linode Server Project</v>
      </c>
      <c r="L119" s="20" t="s">
        <v>175</v>
      </c>
      <c r="M119" s="4"/>
      <c r="N119" s="2" t="s">
        <v>50</v>
      </c>
      <c r="O119" s="2"/>
      <c r="P119" s="4">
        <v>1</v>
      </c>
      <c r="Q119" s="2" t="s">
        <v>1598</v>
      </c>
      <c r="R119" s="11">
        <f>SUBTOTAL(3,_xlfn.SINGLE(tbl_file[RowId]))</f>
        <v>1</v>
      </c>
    </row>
    <row r="120" spans="10:18">
      <c r="J120" s="4">
        <v>435</v>
      </c>
      <c r="K120" s="21" t="str">
        <f>HYPERLINK("obsidian://open?vault=o2&amp;file=%E2%9A%A1%20Setup%20Linode%20Server%20Project.md","⚡ Setup Linode Server Project")</f>
        <v>⚡ Setup Linode Server Project</v>
      </c>
      <c r="L120" s="20" t="s">
        <v>175</v>
      </c>
      <c r="M120" s="4"/>
      <c r="N120" s="2" t="s">
        <v>127</v>
      </c>
      <c r="O120" s="2"/>
      <c r="P120" s="4">
        <v>1</v>
      </c>
      <c r="Q120" s="2" t="s">
        <v>1938</v>
      </c>
      <c r="R120" s="11">
        <f>SUBTOTAL(3,_xlfn.SINGLE(tbl_file[RowId]))</f>
        <v>1</v>
      </c>
    </row>
    <row r="121" spans="10:18">
      <c r="J121" s="4">
        <v>436</v>
      </c>
      <c r="K121" s="21" t="str">
        <f>HYPERLINK("obsidian://open?vault=o2&amp;file=%E2%9A%A1%20Setup%20Linode%20Server%20Project.md","⚡ Setup Linode Server Project")</f>
        <v>⚡ Setup Linode Server Project</v>
      </c>
      <c r="L121" s="20" t="s">
        <v>175</v>
      </c>
      <c r="M121" s="4"/>
      <c r="N121" s="2" t="s">
        <v>2606</v>
      </c>
      <c r="O121" s="2"/>
      <c r="P121" s="4">
        <v>5</v>
      </c>
      <c r="Q121" s="2" t="s">
        <v>2686</v>
      </c>
      <c r="R121" s="11">
        <f>SUBTOTAL(3,_xlfn.SINGLE(tbl_file[RowId]))</f>
        <v>1</v>
      </c>
    </row>
    <row r="122" spans="10:18">
      <c r="J122" s="4">
        <v>2608</v>
      </c>
      <c r="K122" s="21" t="str">
        <f>HYPERLINK("obsidian://open?vault=o2&amp;file=%E2%9A%92%EF%B8%8F%20FUE%20-%20Frequently%20Used%20Emoji%27s.md","⚒️ FUE - Frequently Used Emoji's")</f>
        <v>⚒️ FUE - Frequently Used Emoji's</v>
      </c>
      <c r="L122" s="20" t="s">
        <v>175</v>
      </c>
      <c r="M122" s="4"/>
      <c r="N122" s="2" t="s">
        <v>50</v>
      </c>
      <c r="O122" s="2"/>
      <c r="P122" s="4">
        <v>1</v>
      </c>
      <c r="Q122" s="2" t="s">
        <v>1584</v>
      </c>
      <c r="R122" s="11">
        <f>SUBTOTAL(3,_xlfn.SINGLE(tbl_file[RowId]))</f>
        <v>1</v>
      </c>
    </row>
    <row r="123" spans="10:18">
      <c r="J123" s="4">
        <v>2609</v>
      </c>
      <c r="K123" s="21" t="str">
        <f>HYPERLINK("obsidian://open?vault=o2&amp;file=%E2%9A%92%EF%B8%8F%20FUE%20-%20Frequently%20Used%20Emoji%27s.md","⚒️ FUE - Frequently Used Emoji's")</f>
        <v>⚒️ FUE - Frequently Used Emoji's</v>
      </c>
      <c r="L123" s="20" t="s">
        <v>175</v>
      </c>
      <c r="M123" s="4"/>
      <c r="N123" s="2" t="s">
        <v>127</v>
      </c>
      <c r="O123" s="2"/>
      <c r="P123" s="4">
        <v>1</v>
      </c>
      <c r="Q123" s="2" t="s">
        <v>1932</v>
      </c>
      <c r="R123" s="11">
        <f>SUBTOTAL(3,_xlfn.SINGLE(tbl_file[RowId]))</f>
        <v>1</v>
      </c>
    </row>
    <row r="124" spans="10:18">
      <c r="J124" s="4">
        <v>2610</v>
      </c>
      <c r="K124" s="21" t="str">
        <f>HYPERLINK("obsidian://open?vault=o2&amp;file=%E2%9A%92%EF%B8%8F%20FUE%20-%20Frequently%20Used%20Emoji%27s.md","⚒️ FUE - Frequently Used Emoji's")</f>
        <v>⚒️ FUE - Frequently Used Emoji's</v>
      </c>
      <c r="L124" s="20" t="s">
        <v>175</v>
      </c>
      <c r="M124" s="4"/>
      <c r="N124" s="2" t="s">
        <v>2606</v>
      </c>
      <c r="O124" s="2"/>
      <c r="P124" s="4">
        <v>3</v>
      </c>
      <c r="Q124" s="2" t="s">
        <v>3257</v>
      </c>
      <c r="R124" s="11">
        <f>SUBTOTAL(3,_xlfn.SINGLE(tbl_file[RowId]))</f>
        <v>1</v>
      </c>
    </row>
    <row r="125" spans="10:18">
      <c r="J125" s="4">
        <v>2611</v>
      </c>
      <c r="K125" s="21" t="str">
        <f>HYPERLINK("obsidian://open?vault=o2&amp;file=%E2%9A%92%EF%B8%8F%20FUN%20-%20Frequently%20Used%20Notes.md","⚒️ FUN - Frequently Used Notes")</f>
        <v>⚒️ FUN - Frequently Used Notes</v>
      </c>
      <c r="L125" s="20" t="s">
        <v>175</v>
      </c>
      <c r="M125" s="4"/>
      <c r="N125" s="2" t="s">
        <v>50</v>
      </c>
      <c r="O125" s="2"/>
      <c r="P125" s="4">
        <v>3</v>
      </c>
      <c r="Q125" s="2" t="s">
        <v>3258</v>
      </c>
      <c r="R125" s="11">
        <f>SUBTOTAL(3,_xlfn.SINGLE(tbl_file[RowId]))</f>
        <v>1</v>
      </c>
    </row>
    <row r="126" spans="10:18">
      <c r="J126" s="4">
        <v>2612</v>
      </c>
      <c r="K126" s="21" t="str">
        <f>HYPERLINK("obsidian://open?vault=o2&amp;file=%E2%9A%92%EF%B8%8F%20FUN%20-%20Frequently%20Used%20Notes.md","⚒️ FUN - Frequently Used Notes")</f>
        <v>⚒️ FUN - Frequently Used Notes</v>
      </c>
      <c r="L126" s="20" t="s">
        <v>175</v>
      </c>
      <c r="M126" s="4"/>
      <c r="N126" s="2" t="s">
        <v>127</v>
      </c>
      <c r="O126" s="2"/>
      <c r="P126" s="4">
        <v>1</v>
      </c>
      <c r="Q126" s="2" t="s">
        <v>1932</v>
      </c>
      <c r="R126" s="11">
        <f>SUBTOTAL(3,_xlfn.SINGLE(tbl_file[RowId]))</f>
        <v>1</v>
      </c>
    </row>
    <row r="127" spans="10:18">
      <c r="J127" s="4">
        <v>2613</v>
      </c>
      <c r="K127" s="21" t="str">
        <f>HYPERLINK("obsidian://open?vault=o2&amp;file=%E2%9A%92%EF%B8%8F%20FUN%20-%20Frequently%20Used%20Notes.md","⚒️ FUN - Frequently Used Notes")</f>
        <v>⚒️ FUN - Frequently Used Notes</v>
      </c>
      <c r="L127" s="20" t="s">
        <v>175</v>
      </c>
      <c r="M127" s="4"/>
      <c r="N127" s="2" t="s">
        <v>2606</v>
      </c>
      <c r="O127" s="2"/>
      <c r="P127" s="4">
        <v>5</v>
      </c>
      <c r="Q127" s="2" t="s">
        <v>3259</v>
      </c>
      <c r="R127" s="11">
        <f>SUBTOTAL(3,_xlfn.SINGLE(tbl_file[RowId]))</f>
        <v>1</v>
      </c>
    </row>
    <row r="128" spans="10:18">
      <c r="J128" s="4">
        <v>1190</v>
      </c>
      <c r="K128" s="21" t="str">
        <f>HYPERLINK("obsidian://open?vault=o2&amp;file=%E2%9A%92%EF%B8%8F%20FUT%20-%20Frequently%20Used%20Tags.md","⚒️ FUT - Frequently Used Tags")</f>
        <v>⚒️ FUT - Frequently Used Tags</v>
      </c>
      <c r="L128" s="20" t="s">
        <v>175</v>
      </c>
      <c r="M128" s="4"/>
      <c r="N128" s="2" t="s">
        <v>50</v>
      </c>
      <c r="O128" s="2"/>
      <c r="P128" s="4">
        <v>1</v>
      </c>
      <c r="Q128" s="2" t="s">
        <v>1592</v>
      </c>
      <c r="R128" s="11">
        <f>SUBTOTAL(3,_xlfn.SINGLE(tbl_file[RowId]))</f>
        <v>1</v>
      </c>
    </row>
    <row r="129" spans="10:18">
      <c r="J129" s="4">
        <v>1191</v>
      </c>
      <c r="K129" s="21" t="str">
        <f>HYPERLINK("obsidian://open?vault=o2&amp;file=%E2%9A%92%EF%B8%8F%20FUT%20-%20Frequently%20Used%20Tags.md","⚒️ FUT - Frequently Used Tags")</f>
        <v>⚒️ FUT - Frequently Used Tags</v>
      </c>
      <c r="L129" s="20" t="s">
        <v>175</v>
      </c>
      <c r="M129" s="4"/>
      <c r="N129" s="2" t="s">
        <v>2606</v>
      </c>
      <c r="O129" s="2"/>
      <c r="P129" s="4">
        <v>3</v>
      </c>
      <c r="Q129" s="2" t="s">
        <v>2997</v>
      </c>
      <c r="R129" s="11">
        <f>SUBTOTAL(3,_xlfn.SINGLE(tbl_file[RowId]))</f>
        <v>1</v>
      </c>
    </row>
    <row r="130" spans="10:18">
      <c r="J130" s="4">
        <v>1192</v>
      </c>
      <c r="K130" s="21" t="str">
        <f>HYPERLINK("obsidian://open?vault=o2&amp;file=%E2%9A%92%EF%B8%8F%20FUT%20-%20Frequently%20Used%20Tags.md","⚒️ FUT - Frequently Used Tags")</f>
        <v>⚒️ FUT - Frequently Used Tags</v>
      </c>
      <c r="L130" s="20" t="s">
        <v>175</v>
      </c>
      <c r="M130" s="4" t="s">
        <v>2626</v>
      </c>
      <c r="N130" s="2" t="s">
        <v>2606</v>
      </c>
      <c r="O130" s="2"/>
      <c r="P130" s="4">
        <v>3</v>
      </c>
      <c r="Q130" s="2" t="s">
        <v>2998</v>
      </c>
      <c r="R130" s="11">
        <f>SUBTOTAL(3,_xlfn.SINGLE(tbl_file[RowId]))</f>
        <v>1</v>
      </c>
    </row>
    <row r="131" spans="10:18">
      <c r="J131" s="4">
        <v>2614</v>
      </c>
      <c r="K131" s="21" t="str">
        <f>HYPERLINK("obsidian://open?vault=o2&amp;file=%E2%9A%92%EF%B8%8F%20My%20Toolbox.md","⚒️ My Toolbox")</f>
        <v>⚒️ My Toolbox</v>
      </c>
      <c r="L131" s="20" t="s">
        <v>175</v>
      </c>
      <c r="M131" s="4"/>
      <c r="N131" s="2" t="s">
        <v>50</v>
      </c>
      <c r="O131" s="2"/>
      <c r="P131" s="4">
        <v>2</v>
      </c>
      <c r="Q131" s="2" t="s">
        <v>3260</v>
      </c>
      <c r="R131" s="11">
        <f>SUBTOTAL(3,_xlfn.SINGLE(tbl_file[RowId]))</f>
        <v>1</v>
      </c>
    </row>
    <row r="132" spans="10:18">
      <c r="J132" s="4">
        <v>2615</v>
      </c>
      <c r="K132" s="21" t="str">
        <f>HYPERLINK("obsidian://open?vault=o2&amp;file=%E2%9A%92%EF%B8%8F%20My%20Toolbox.md","⚒️ My Toolbox")</f>
        <v>⚒️ My Toolbox</v>
      </c>
      <c r="L132" s="20" t="s">
        <v>175</v>
      </c>
      <c r="M132" s="4"/>
      <c r="N132" s="2" t="s">
        <v>127</v>
      </c>
      <c r="O132" s="2"/>
      <c r="P132" s="4">
        <v>1</v>
      </c>
      <c r="Q132" s="2" t="s">
        <v>1968</v>
      </c>
      <c r="R132" s="11">
        <f>SUBTOTAL(3,_xlfn.SINGLE(tbl_file[RowId]))</f>
        <v>1</v>
      </c>
    </row>
    <row r="133" spans="10:18">
      <c r="J133" s="4">
        <v>2616</v>
      </c>
      <c r="K133" s="21" t="str">
        <f>HYPERLINK("obsidian://open?vault=o2&amp;file=%E2%9A%92%EF%B8%8F%20My%20Toolbox.md","⚒️ My Toolbox")</f>
        <v>⚒️ My Toolbox</v>
      </c>
      <c r="L133" s="20" t="s">
        <v>175</v>
      </c>
      <c r="M133" s="4"/>
      <c r="N133" s="2" t="s">
        <v>2606</v>
      </c>
      <c r="O133" s="2"/>
      <c r="P133" s="4">
        <v>3</v>
      </c>
      <c r="Q133" s="2" t="s">
        <v>3261</v>
      </c>
      <c r="R133" s="11">
        <f>SUBTOTAL(3,_xlfn.SINGLE(tbl_file[RowId]))</f>
        <v>1</v>
      </c>
    </row>
    <row r="134" spans="10:18">
      <c r="J134" s="4">
        <v>2617</v>
      </c>
      <c r="K134" s="21" t="str">
        <f>HYPERLINK("obsidian://open?vault=o2&amp;file=%E2%9A%92%EF%B8%8F%20Orphans.md","⚒️ Orphans")</f>
        <v>⚒️ Orphans</v>
      </c>
      <c r="L134" s="20" t="s">
        <v>175</v>
      </c>
      <c r="M134" s="4"/>
      <c r="N134" s="2" t="s">
        <v>50</v>
      </c>
      <c r="O134" s="2"/>
      <c r="P134" s="4">
        <v>1</v>
      </c>
      <c r="Q134" s="2" t="s">
        <v>1592</v>
      </c>
      <c r="R134" s="11">
        <f>SUBTOTAL(3,_xlfn.SINGLE(tbl_file[RowId]))</f>
        <v>1</v>
      </c>
    </row>
    <row r="135" spans="10:18">
      <c r="J135" s="4">
        <v>2618</v>
      </c>
      <c r="K135" s="21" t="str">
        <f>HYPERLINK("obsidian://open?vault=o2&amp;file=%E2%9A%92%EF%B8%8F%20Orphans.md","⚒️ Orphans")</f>
        <v>⚒️ Orphans</v>
      </c>
      <c r="L135" s="20" t="s">
        <v>175</v>
      </c>
      <c r="M135" s="4"/>
      <c r="N135" s="2" t="s">
        <v>127</v>
      </c>
      <c r="O135" s="2"/>
      <c r="P135" s="4">
        <v>1</v>
      </c>
      <c r="Q135" s="2" t="s">
        <v>1970</v>
      </c>
      <c r="R135" s="11">
        <f>SUBTOTAL(3,_xlfn.SINGLE(tbl_file[RowId]))</f>
        <v>1</v>
      </c>
    </row>
    <row r="136" spans="10:18">
      <c r="J136" s="4">
        <v>2619</v>
      </c>
      <c r="K136" s="21" t="str">
        <f>HYPERLINK("obsidian://open?vault=o2&amp;file=%E2%9A%92%EF%B8%8F%20Orphans.md","⚒️ Orphans")</f>
        <v>⚒️ Orphans</v>
      </c>
      <c r="L136" s="20" t="s">
        <v>175</v>
      </c>
      <c r="M136" s="4"/>
      <c r="N136" s="2" t="s">
        <v>2606</v>
      </c>
      <c r="O136" s="2"/>
      <c r="P136" s="4">
        <v>4</v>
      </c>
      <c r="Q136" s="2" t="s">
        <v>3262</v>
      </c>
      <c r="R136" s="11">
        <f>SUBTOTAL(3,_xlfn.SINGLE(tbl_file[RowId]))</f>
        <v>1</v>
      </c>
    </row>
    <row r="137" spans="10:18">
      <c r="J137" s="4">
        <v>1193</v>
      </c>
      <c r="K137" s="21" t="str">
        <f t="shared" ref="K137:K142" si="3">HYPERLINK("obsidian://open?vault=o2&amp;file=%E2%9A%92%EF%B8%8F%20Tag%20Usage%20Queries.md","⚒️ Tag Usage Queries")</f>
        <v>⚒️ Tag Usage Queries</v>
      </c>
      <c r="L137" s="20" t="s">
        <v>175</v>
      </c>
      <c r="M137" s="4"/>
      <c r="N137" s="2" t="s">
        <v>50</v>
      </c>
      <c r="O137" s="2"/>
      <c r="P137" s="4">
        <v>1</v>
      </c>
      <c r="Q137" s="2" t="s">
        <v>1592</v>
      </c>
      <c r="R137" s="11">
        <f>SUBTOTAL(3,_xlfn.SINGLE(tbl_file[RowId]))</f>
        <v>1</v>
      </c>
    </row>
    <row r="138" spans="10:18">
      <c r="J138" s="4">
        <v>1194</v>
      </c>
      <c r="K138" s="21" t="str">
        <f t="shared" si="3"/>
        <v>⚒️ Tag Usage Queries</v>
      </c>
      <c r="L138" s="20" t="s">
        <v>175</v>
      </c>
      <c r="M138" s="4"/>
      <c r="N138" s="2" t="s">
        <v>118</v>
      </c>
      <c r="O138" s="2"/>
      <c r="P138" s="4">
        <v>1</v>
      </c>
      <c r="Q138" s="2" t="s">
        <v>1641</v>
      </c>
      <c r="R138" s="11">
        <f>SUBTOTAL(3,_xlfn.SINGLE(tbl_file[RowId]))</f>
        <v>1</v>
      </c>
    </row>
    <row r="139" spans="10:18">
      <c r="J139" s="4">
        <v>1195</v>
      </c>
      <c r="K139" s="21" t="str">
        <f t="shared" si="3"/>
        <v>⚒️ Tag Usage Queries</v>
      </c>
      <c r="L139" s="20" t="s">
        <v>175</v>
      </c>
      <c r="M139" s="4"/>
      <c r="N139" s="2" t="s">
        <v>123</v>
      </c>
      <c r="O139" s="2"/>
      <c r="P139" s="4">
        <v>1</v>
      </c>
      <c r="Q139" s="2" t="s">
        <v>1564</v>
      </c>
      <c r="R139" s="11">
        <f>SUBTOTAL(3,_xlfn.SINGLE(tbl_file[RowId]))</f>
        <v>1</v>
      </c>
    </row>
    <row r="140" spans="10:18">
      <c r="J140" s="4">
        <v>1196</v>
      </c>
      <c r="K140" s="21" t="str">
        <f t="shared" si="3"/>
        <v>⚒️ Tag Usage Queries</v>
      </c>
      <c r="L140" s="20" t="s">
        <v>175</v>
      </c>
      <c r="M140" s="4"/>
      <c r="N140" s="2" t="s">
        <v>127</v>
      </c>
      <c r="O140" s="2"/>
      <c r="P140" s="4">
        <v>1</v>
      </c>
      <c r="Q140" s="2" t="s">
        <v>1940</v>
      </c>
      <c r="R140" s="11">
        <f>SUBTOTAL(3,_xlfn.SINGLE(tbl_file[RowId]))</f>
        <v>1</v>
      </c>
    </row>
    <row r="141" spans="10:18">
      <c r="J141" s="4">
        <v>1197</v>
      </c>
      <c r="K141" s="21" t="str">
        <f t="shared" si="3"/>
        <v>⚒️ Tag Usage Queries</v>
      </c>
      <c r="L141" s="20" t="s">
        <v>175</v>
      </c>
      <c r="M141" s="4"/>
      <c r="N141" s="2" t="s">
        <v>2606</v>
      </c>
      <c r="O141" s="2"/>
      <c r="P141" s="4">
        <v>2</v>
      </c>
      <c r="Q141" s="2" t="s">
        <v>2999</v>
      </c>
      <c r="R141" s="11">
        <f>SUBTOTAL(3,_xlfn.SINGLE(tbl_file[RowId]))</f>
        <v>1</v>
      </c>
    </row>
    <row r="142" spans="10:18">
      <c r="J142" s="4">
        <v>1198</v>
      </c>
      <c r="K142" s="21" t="str">
        <f t="shared" si="3"/>
        <v>⚒️ Tag Usage Queries</v>
      </c>
      <c r="L142" s="20" t="s">
        <v>175</v>
      </c>
      <c r="M142" s="4"/>
      <c r="N142" s="2" t="s">
        <v>133</v>
      </c>
      <c r="O142" s="2"/>
      <c r="P142" s="4">
        <v>1</v>
      </c>
      <c r="Q142" s="2" t="s">
        <v>2693</v>
      </c>
      <c r="R142" s="11">
        <f>SUBTOTAL(3,_xlfn.SINGLE(tbl_file[RowId]))</f>
        <v>1</v>
      </c>
    </row>
    <row r="143" spans="10:18">
      <c r="J143" s="4">
        <v>467</v>
      </c>
      <c r="K143" s="21" t="str">
        <f>HYPERLINK("obsidian://open?vault=o2&amp;file=%E2%9A%93%20AA%20Recovery.md","⚓ AA Recovery")</f>
        <v>⚓ AA Recovery</v>
      </c>
      <c r="L143" s="20" t="s">
        <v>175</v>
      </c>
      <c r="M143" s="4"/>
      <c r="N143" s="2" t="s">
        <v>12</v>
      </c>
      <c r="O143" s="2"/>
      <c r="P143" s="4">
        <v>1</v>
      </c>
      <c r="Q143" s="2" t="s">
        <v>270</v>
      </c>
      <c r="R143" s="11">
        <f>SUBTOTAL(3,_xlfn.SINGLE(tbl_file[RowId]))</f>
        <v>1</v>
      </c>
    </row>
    <row r="144" spans="10:18">
      <c r="J144" s="4">
        <v>468</v>
      </c>
      <c r="K144" s="21" t="str">
        <f>HYPERLINK("obsidian://open?vault=o2&amp;file=%E2%9A%93%20AA%20Recovery.md","⚓ AA Recovery")</f>
        <v>⚓ AA Recovery</v>
      </c>
      <c r="L144" s="20" t="s">
        <v>175</v>
      </c>
      <c r="M144" s="4"/>
      <c r="N144" s="2" t="s">
        <v>23</v>
      </c>
      <c r="O144" s="2"/>
      <c r="P144" s="4">
        <v>2</v>
      </c>
      <c r="Q144" s="2" t="s">
        <v>2644</v>
      </c>
      <c r="R144" s="11">
        <f>SUBTOTAL(3,_xlfn.SINGLE(tbl_file[RowId]))</f>
        <v>1</v>
      </c>
    </row>
    <row r="145" spans="10:18">
      <c r="J145" s="4">
        <v>469</v>
      </c>
      <c r="K145" s="21" t="str">
        <f>HYPERLINK("obsidian://open?vault=o2&amp;file=%E2%9A%93%20AA%20Recovery.md","⚓ AA Recovery")</f>
        <v>⚓ AA Recovery</v>
      </c>
      <c r="L145" s="20" t="s">
        <v>175</v>
      </c>
      <c r="M145" s="4"/>
      <c r="N145" s="2" t="s">
        <v>50</v>
      </c>
      <c r="O145" s="2"/>
      <c r="P145" s="4">
        <v>3</v>
      </c>
      <c r="Q145" s="2" t="s">
        <v>2695</v>
      </c>
      <c r="R145" s="11">
        <f>SUBTOTAL(3,_xlfn.SINGLE(tbl_file[RowId]))</f>
        <v>1</v>
      </c>
    </row>
    <row r="146" spans="10:18">
      <c r="J146" s="4">
        <v>470</v>
      </c>
      <c r="K146" s="21" t="str">
        <f>HYPERLINK("obsidian://open?vault=o2&amp;file=%E2%9A%93%20AA%20Recovery.md","⚓ AA Recovery")</f>
        <v>⚓ AA Recovery</v>
      </c>
      <c r="L146" s="20" t="s">
        <v>175</v>
      </c>
      <c r="M146" s="4"/>
      <c r="N146" s="2" t="s">
        <v>2606</v>
      </c>
      <c r="O146" s="2"/>
      <c r="P146" s="4">
        <v>4</v>
      </c>
      <c r="Q146" s="2" t="s">
        <v>2696</v>
      </c>
      <c r="R146" s="11">
        <f>SUBTOTAL(3,_xlfn.SINGLE(tbl_file[RowId]))</f>
        <v>1</v>
      </c>
    </row>
    <row r="147" spans="10:18">
      <c r="J147" s="4">
        <v>471</v>
      </c>
      <c r="K147" s="21" t="str">
        <f>HYPERLINK("obsidian://open?vault=o2&amp;file=%E2%9A%93%20AA%20Recovery.md","⚓ AA Recovery")</f>
        <v>⚓ AA Recovery</v>
      </c>
      <c r="L147" s="20" t="s">
        <v>175</v>
      </c>
      <c r="M147" s="4"/>
      <c r="N147" s="2" t="s">
        <v>133</v>
      </c>
      <c r="O147" s="2"/>
      <c r="P147" s="4">
        <v>1</v>
      </c>
      <c r="Q147" s="2" t="s">
        <v>2107</v>
      </c>
      <c r="R147" s="11">
        <f>SUBTOTAL(3,_xlfn.SINGLE(tbl_file[RowId]))</f>
        <v>1</v>
      </c>
    </row>
    <row r="148" spans="10:18">
      <c r="J148" s="4">
        <v>479</v>
      </c>
      <c r="K148" s="21" t="str">
        <f>HYPERLINK("obsidian://open?vault=o2&amp;file=%E2%9A%93%20CWS.md","⚓ CWS")</f>
        <v>⚓ CWS</v>
      </c>
      <c r="L148" s="20" t="s">
        <v>175</v>
      </c>
      <c r="M148" s="4"/>
      <c r="N148" s="2" t="s">
        <v>12</v>
      </c>
      <c r="O148" s="2"/>
      <c r="P148" s="4">
        <v>1</v>
      </c>
      <c r="Q148" s="2" t="s">
        <v>264</v>
      </c>
      <c r="R148" s="11">
        <f>SUBTOTAL(3,_xlfn.SINGLE(tbl_file[RowId]))</f>
        <v>1</v>
      </c>
    </row>
    <row r="149" spans="10:18">
      <c r="J149" s="4">
        <v>480</v>
      </c>
      <c r="K149" s="21" t="str">
        <f>HYPERLINK("obsidian://open?vault=o2&amp;file=%E2%9A%93%20CWS.md","⚓ CWS")</f>
        <v>⚓ CWS</v>
      </c>
      <c r="L149" s="20" t="s">
        <v>175</v>
      </c>
      <c r="M149" s="4"/>
      <c r="N149" s="2" t="s">
        <v>23</v>
      </c>
      <c r="O149" s="2"/>
      <c r="P149" s="4">
        <v>2</v>
      </c>
      <c r="Q149" s="2" t="s">
        <v>2644</v>
      </c>
      <c r="R149" s="11">
        <f>SUBTOTAL(3,_xlfn.SINGLE(tbl_file[RowId]))</f>
        <v>1</v>
      </c>
    </row>
    <row r="150" spans="10:18">
      <c r="J150" s="4">
        <v>481</v>
      </c>
      <c r="K150" s="21" t="str">
        <f>HYPERLINK("obsidian://open?vault=o2&amp;file=%E2%9A%93%20CWS.md","⚓ CWS")</f>
        <v>⚓ CWS</v>
      </c>
      <c r="L150" s="20" t="s">
        <v>175</v>
      </c>
      <c r="M150" s="4"/>
      <c r="N150" s="2" t="s">
        <v>50</v>
      </c>
      <c r="O150" s="2"/>
      <c r="P150" s="4">
        <v>1</v>
      </c>
      <c r="Q150" s="2" t="s">
        <v>1596</v>
      </c>
      <c r="R150" s="11">
        <f>SUBTOTAL(3,_xlfn.SINGLE(tbl_file[RowId]))</f>
        <v>1</v>
      </c>
    </row>
    <row r="151" spans="10:18">
      <c r="J151" s="4">
        <v>482</v>
      </c>
      <c r="K151" s="21" t="str">
        <f>HYPERLINK("obsidian://open?vault=o2&amp;file=%E2%9A%93%20CWS.md","⚓ CWS")</f>
        <v>⚓ CWS</v>
      </c>
      <c r="L151" s="20" t="s">
        <v>175</v>
      </c>
      <c r="M151" s="4"/>
      <c r="N151" s="2" t="s">
        <v>2606</v>
      </c>
      <c r="O151" s="2"/>
      <c r="P151" s="4">
        <v>3</v>
      </c>
      <c r="Q151" s="2" t="s">
        <v>2698</v>
      </c>
      <c r="R151" s="11">
        <f>SUBTOTAL(3,_xlfn.SINGLE(tbl_file[RowId]))</f>
        <v>1</v>
      </c>
    </row>
    <row r="152" spans="10:18">
      <c r="J152" s="4">
        <v>483</v>
      </c>
      <c r="K152" s="21" t="str">
        <f>HYPERLINK("obsidian://open?vault=o2&amp;file=%E2%9A%93%20Family.md","⚓ Family")</f>
        <v>⚓ Family</v>
      </c>
      <c r="L152" s="20" t="s">
        <v>175</v>
      </c>
      <c r="M152" s="4"/>
      <c r="N152" s="2" t="s">
        <v>12</v>
      </c>
      <c r="O152" s="2"/>
      <c r="P152" s="4">
        <v>1</v>
      </c>
      <c r="Q152" s="2" t="s">
        <v>266</v>
      </c>
      <c r="R152" s="11">
        <f>SUBTOTAL(3,_xlfn.SINGLE(tbl_file[RowId]))</f>
        <v>1</v>
      </c>
    </row>
    <row r="153" spans="10:18">
      <c r="J153" s="4">
        <v>484</v>
      </c>
      <c r="K153" s="21" t="str">
        <f>HYPERLINK("obsidian://open?vault=o2&amp;file=%E2%9A%93%20Family.md","⚓ Family")</f>
        <v>⚓ Family</v>
      </c>
      <c r="L153" s="20" t="s">
        <v>175</v>
      </c>
      <c r="M153" s="4"/>
      <c r="N153" s="2" t="s">
        <v>23</v>
      </c>
      <c r="O153" s="2"/>
      <c r="P153" s="4">
        <v>2</v>
      </c>
      <c r="Q153" s="2" t="s">
        <v>2644</v>
      </c>
      <c r="R153" s="11">
        <f>SUBTOTAL(3,_xlfn.SINGLE(tbl_file[RowId]))</f>
        <v>1</v>
      </c>
    </row>
    <row r="154" spans="10:18">
      <c r="J154" s="4">
        <v>485</v>
      </c>
      <c r="K154" s="21" t="str">
        <f>HYPERLINK("obsidian://open?vault=o2&amp;file=%E2%9A%93%20Family.md","⚓ Family")</f>
        <v>⚓ Family</v>
      </c>
      <c r="L154" s="20" t="s">
        <v>175</v>
      </c>
      <c r="M154" s="4"/>
      <c r="N154" s="2" t="s">
        <v>50</v>
      </c>
      <c r="O154" s="2"/>
      <c r="P154" s="4">
        <v>1</v>
      </c>
      <c r="Q154" s="2" t="s">
        <v>1596</v>
      </c>
      <c r="R154" s="11">
        <f>SUBTOTAL(3,_xlfn.SINGLE(tbl_file[RowId]))</f>
        <v>1</v>
      </c>
    </row>
    <row r="155" spans="10:18">
      <c r="J155" s="4">
        <v>486</v>
      </c>
      <c r="K155" s="21" t="str">
        <f>HYPERLINK("obsidian://open?vault=o2&amp;file=%E2%9A%93%20Family.md","⚓ Family")</f>
        <v>⚓ Family</v>
      </c>
      <c r="L155" s="20" t="s">
        <v>175</v>
      </c>
      <c r="M155" s="4"/>
      <c r="N155" s="2" t="s">
        <v>2606</v>
      </c>
      <c r="O155" s="2"/>
      <c r="P155" s="4">
        <v>3</v>
      </c>
      <c r="Q155" s="2" t="s">
        <v>2699</v>
      </c>
      <c r="R155" s="11">
        <f>SUBTOTAL(3,_xlfn.SINGLE(tbl_file[RowId]))</f>
        <v>1</v>
      </c>
    </row>
    <row r="156" spans="10:18">
      <c r="J156" s="4">
        <v>487</v>
      </c>
      <c r="K156" s="21" t="str">
        <f>HYPERLINK("obsidian://open?vault=o2&amp;file=%E2%9A%93%20Finances.md","⚓ Finances")</f>
        <v>⚓ Finances</v>
      </c>
      <c r="L156" s="20" t="s">
        <v>175</v>
      </c>
      <c r="M156" s="4"/>
      <c r="N156" s="2" t="s">
        <v>12</v>
      </c>
      <c r="O156" s="2"/>
      <c r="P156" s="4">
        <v>1</v>
      </c>
      <c r="Q156" s="2" t="s">
        <v>268</v>
      </c>
      <c r="R156" s="11">
        <f>SUBTOTAL(3,_xlfn.SINGLE(tbl_file[RowId]))</f>
        <v>1</v>
      </c>
    </row>
    <row r="157" spans="10:18">
      <c r="J157" s="4">
        <v>488</v>
      </c>
      <c r="K157" s="21" t="str">
        <f>HYPERLINK("obsidian://open?vault=o2&amp;file=%E2%9A%93%20Finances.md","⚓ Finances")</f>
        <v>⚓ Finances</v>
      </c>
      <c r="L157" s="20" t="s">
        <v>175</v>
      </c>
      <c r="M157" s="4"/>
      <c r="N157" s="2" t="s">
        <v>23</v>
      </c>
      <c r="O157" s="2"/>
      <c r="P157" s="4">
        <v>2</v>
      </c>
      <c r="Q157" s="2" t="s">
        <v>2644</v>
      </c>
      <c r="R157" s="11">
        <f>SUBTOTAL(3,_xlfn.SINGLE(tbl_file[RowId]))</f>
        <v>1</v>
      </c>
    </row>
    <row r="158" spans="10:18">
      <c r="J158" s="4">
        <v>489</v>
      </c>
      <c r="K158" s="21" t="str">
        <f>HYPERLINK("obsidian://open?vault=o2&amp;file=%E2%9A%93%20Finances.md","⚓ Finances")</f>
        <v>⚓ Finances</v>
      </c>
      <c r="L158" s="20" t="s">
        <v>175</v>
      </c>
      <c r="M158" s="4"/>
      <c r="N158" s="2" t="s">
        <v>50</v>
      </c>
      <c r="O158" s="2"/>
      <c r="P158" s="4">
        <v>1</v>
      </c>
      <c r="Q158" s="2" t="s">
        <v>1596</v>
      </c>
      <c r="R158" s="11">
        <f>SUBTOTAL(3,_xlfn.SINGLE(tbl_file[RowId]))</f>
        <v>1</v>
      </c>
    </row>
    <row r="159" spans="10:18">
      <c r="J159" s="4">
        <v>490</v>
      </c>
      <c r="K159" s="21" t="str">
        <f>HYPERLINK("obsidian://open?vault=o2&amp;file=%E2%9A%93%20Finances.md","⚓ Finances")</f>
        <v>⚓ Finances</v>
      </c>
      <c r="L159" s="20" t="s">
        <v>175</v>
      </c>
      <c r="M159" s="4"/>
      <c r="N159" s="2" t="s">
        <v>2606</v>
      </c>
      <c r="O159" s="2"/>
      <c r="P159" s="4">
        <v>3</v>
      </c>
      <c r="Q159" s="2" t="s">
        <v>2700</v>
      </c>
      <c r="R159" s="11">
        <f>SUBTOTAL(3,_xlfn.SINGLE(tbl_file[RowId]))</f>
        <v>1</v>
      </c>
    </row>
    <row r="160" spans="10:18">
      <c r="J160" s="4">
        <v>516</v>
      </c>
      <c r="K160" s="21" t="str">
        <f>HYPERLINK("obsidian://open?vault=o2&amp;file=%E2%9A%93%20Health.md","⚓ Health")</f>
        <v>⚓ Health</v>
      </c>
      <c r="L160" s="20" t="s">
        <v>175</v>
      </c>
      <c r="M160" s="4"/>
      <c r="N160" s="2" t="s">
        <v>12</v>
      </c>
      <c r="O160" s="2"/>
      <c r="P160" s="4">
        <v>1</v>
      </c>
      <c r="Q160" s="2" t="s">
        <v>270</v>
      </c>
      <c r="R160" s="11">
        <f>SUBTOTAL(3,_xlfn.SINGLE(tbl_file[RowId]))</f>
        <v>1</v>
      </c>
    </row>
    <row r="161" spans="10:18">
      <c r="J161" s="4">
        <v>517</v>
      </c>
      <c r="K161" s="21" t="str">
        <f>HYPERLINK("obsidian://open?vault=o2&amp;file=%E2%9A%93%20Health.md","⚓ Health")</f>
        <v>⚓ Health</v>
      </c>
      <c r="L161" s="20" t="s">
        <v>175</v>
      </c>
      <c r="M161" s="4"/>
      <c r="N161" s="2" t="s">
        <v>23</v>
      </c>
      <c r="O161" s="2"/>
      <c r="P161" s="4">
        <v>2</v>
      </c>
      <c r="Q161" s="2" t="s">
        <v>2644</v>
      </c>
      <c r="R161" s="11">
        <f>SUBTOTAL(3,_xlfn.SINGLE(tbl_file[RowId]))</f>
        <v>1</v>
      </c>
    </row>
    <row r="162" spans="10:18">
      <c r="J162" s="4">
        <v>518</v>
      </c>
      <c r="K162" s="21" t="str">
        <f>HYPERLINK("obsidian://open?vault=o2&amp;file=%E2%9A%93%20Health.md","⚓ Health")</f>
        <v>⚓ Health</v>
      </c>
      <c r="L162" s="20" t="s">
        <v>175</v>
      </c>
      <c r="M162" s="4"/>
      <c r="N162" s="2" t="s">
        <v>50</v>
      </c>
      <c r="O162" s="2"/>
      <c r="P162" s="4">
        <v>1</v>
      </c>
      <c r="Q162" s="2" t="s">
        <v>1596</v>
      </c>
      <c r="R162" s="11">
        <f>SUBTOTAL(3,_xlfn.SINGLE(tbl_file[RowId]))</f>
        <v>1</v>
      </c>
    </row>
    <row r="163" spans="10:18">
      <c r="J163" s="4">
        <v>519</v>
      </c>
      <c r="K163" s="21" t="str">
        <f>HYPERLINK("obsidian://open?vault=o2&amp;file=%E2%9A%93%20Health.md","⚓ Health")</f>
        <v>⚓ Health</v>
      </c>
      <c r="L163" s="20" t="s">
        <v>175</v>
      </c>
      <c r="M163" s="4"/>
      <c r="N163" s="2" t="s">
        <v>2606</v>
      </c>
      <c r="O163" s="2"/>
      <c r="P163" s="4">
        <v>3</v>
      </c>
      <c r="Q163" s="2" t="s">
        <v>2703</v>
      </c>
      <c r="R163" s="11">
        <f>SUBTOTAL(3,_xlfn.SINGLE(tbl_file[RowId]))</f>
        <v>1</v>
      </c>
    </row>
    <row r="164" spans="10:18">
      <c r="J164" s="4">
        <v>2620</v>
      </c>
      <c r="K164" s="21" t="str">
        <f>HYPERLINK("obsidian://open?vault=o2&amp;file=%E2%9A%93%20My%20Areas.md","⚓ My Areas")</f>
        <v>⚓ My Areas</v>
      </c>
      <c r="L164" s="20" t="s">
        <v>175</v>
      </c>
      <c r="M164" s="4"/>
      <c r="N164" s="2" t="s">
        <v>21</v>
      </c>
      <c r="O164" s="2"/>
      <c r="P164" s="4">
        <v>2</v>
      </c>
      <c r="Q164" s="2" t="s">
        <v>2644</v>
      </c>
      <c r="R164" s="11">
        <f>SUBTOTAL(3,_xlfn.SINGLE(tbl_file[RowId]))</f>
        <v>1</v>
      </c>
    </row>
    <row r="165" spans="10:18">
      <c r="J165" s="4">
        <v>2621</v>
      </c>
      <c r="K165" s="21" t="str">
        <f>HYPERLINK("obsidian://open?vault=o2&amp;file=%E2%9A%93%20My%20Areas.md","⚓ My Areas")</f>
        <v>⚓ My Areas</v>
      </c>
      <c r="L165" s="20" t="s">
        <v>175</v>
      </c>
      <c r="M165" s="4"/>
      <c r="N165" s="2" t="s">
        <v>50</v>
      </c>
      <c r="O165" s="2"/>
      <c r="P165" s="4">
        <v>1</v>
      </c>
      <c r="Q165" s="2" t="s">
        <v>1582</v>
      </c>
      <c r="R165" s="11">
        <f>SUBTOTAL(3,_xlfn.SINGLE(tbl_file[RowId]))</f>
        <v>1</v>
      </c>
    </row>
    <row r="166" spans="10:18">
      <c r="J166" s="4">
        <v>2622</v>
      </c>
      <c r="K166" s="21" t="str">
        <f>HYPERLINK("obsidian://open?vault=o2&amp;file=%E2%9A%93%20My%20Areas.md","⚓ My Areas")</f>
        <v>⚓ My Areas</v>
      </c>
      <c r="L166" s="20" t="s">
        <v>175</v>
      </c>
      <c r="M166" s="4"/>
      <c r="N166" s="2" t="s">
        <v>2606</v>
      </c>
      <c r="O166" s="2"/>
      <c r="P166" s="4">
        <v>2</v>
      </c>
      <c r="Q166" s="2" t="s">
        <v>3020</v>
      </c>
      <c r="R166" s="11">
        <f>SUBTOTAL(3,_xlfn.SINGLE(tbl_file[RowId]))</f>
        <v>1</v>
      </c>
    </row>
    <row r="167" spans="10:18">
      <c r="J167" s="4">
        <v>2623</v>
      </c>
      <c r="K167" s="21" t="str">
        <f>HYPERLINK("obsidian://open?vault=o2&amp;file=%E2%9A%93%20My%20Areas.md","⚓ My Areas")</f>
        <v>⚓ My Areas</v>
      </c>
      <c r="L167" s="20" t="s">
        <v>175</v>
      </c>
      <c r="M167" s="4"/>
      <c r="N167" s="2" t="s">
        <v>133</v>
      </c>
      <c r="O167" s="2"/>
      <c r="P167" s="4">
        <v>1</v>
      </c>
      <c r="Q167" s="2" t="s">
        <v>2107</v>
      </c>
      <c r="R167" s="11">
        <f>SUBTOTAL(3,_xlfn.SINGLE(tbl_file[RowId]))</f>
        <v>1</v>
      </c>
    </row>
    <row r="168" spans="10:18">
      <c r="J168" s="4">
        <v>1</v>
      </c>
      <c r="K168" s="21" t="str">
        <f>HYPERLINK("obsidian://open?vault=o2&amp;file=0-Inbox.md","0-Inbox")</f>
        <v>0-Inbox</v>
      </c>
      <c r="L168" s="20" t="s">
        <v>175</v>
      </c>
      <c r="M168" s="4"/>
      <c r="N168" s="2" t="s">
        <v>21</v>
      </c>
      <c r="O168" s="2"/>
      <c r="P168" s="4">
        <v>1</v>
      </c>
      <c r="Q168" s="2" t="s">
        <v>420</v>
      </c>
      <c r="R168" s="11">
        <f>SUBTOTAL(3,_xlfn.SINGLE(tbl_file[RowId]))</f>
        <v>1</v>
      </c>
    </row>
    <row r="169" spans="10:18">
      <c r="J169" s="4">
        <v>2</v>
      </c>
      <c r="K169" s="21" t="str">
        <f>HYPERLINK("obsidian://open?vault=o2&amp;file=0-Inbox.md","0-Inbox")</f>
        <v>0-Inbox</v>
      </c>
      <c r="L169" s="20" t="s">
        <v>175</v>
      </c>
      <c r="M169" s="4"/>
      <c r="N169" s="2" t="s">
        <v>133</v>
      </c>
      <c r="O169" s="2"/>
      <c r="P169" s="4">
        <v>1</v>
      </c>
      <c r="Q169" s="2" t="s">
        <v>2605</v>
      </c>
      <c r="R169" s="11">
        <f>SUBTOTAL(3,_xlfn.SINGLE(tbl_file[RowId]))</f>
        <v>1</v>
      </c>
    </row>
    <row r="170" spans="10:18">
      <c r="J170" s="4">
        <v>439</v>
      </c>
      <c r="K170" s="21" t="str">
        <f t="shared" ref="K170:K176" si="4">HYPERLINK("obsidian://open?vault=o2&amp;file=10th%20Step%20Homework.md","10th Step Homework")</f>
        <v>10th Step Homework</v>
      </c>
      <c r="L170" s="20" t="s">
        <v>175</v>
      </c>
      <c r="M170" s="4"/>
      <c r="N170" s="2" t="s">
        <v>50</v>
      </c>
      <c r="O170" s="2"/>
      <c r="P170" s="4">
        <v>5</v>
      </c>
      <c r="Q170" s="2" t="s">
        <v>2688</v>
      </c>
      <c r="R170" s="11">
        <f>SUBTOTAL(3,_xlfn.SINGLE(tbl_file[RowId]))</f>
        <v>1</v>
      </c>
    </row>
    <row r="171" spans="10:18">
      <c r="J171" s="4">
        <v>440</v>
      </c>
      <c r="K171" s="21" t="str">
        <f t="shared" si="4"/>
        <v>10th Step Homework</v>
      </c>
      <c r="L171" s="20" t="s">
        <v>175</v>
      </c>
      <c r="M171" s="4"/>
      <c r="N171" s="2" t="s">
        <v>118</v>
      </c>
      <c r="O171" s="2"/>
      <c r="P171" s="4">
        <v>1</v>
      </c>
      <c r="Q171" s="2" t="s">
        <v>1641</v>
      </c>
      <c r="R171" s="11">
        <f>SUBTOTAL(3,_xlfn.SINGLE(tbl_file[RowId]))</f>
        <v>1</v>
      </c>
    </row>
    <row r="172" spans="10:18">
      <c r="J172" s="4">
        <v>441</v>
      </c>
      <c r="K172" s="21" t="str">
        <f t="shared" si="4"/>
        <v>10th Step Homework</v>
      </c>
      <c r="L172" s="20" t="s">
        <v>175</v>
      </c>
      <c r="M172" s="4"/>
      <c r="N172" s="2" t="s">
        <v>123</v>
      </c>
      <c r="O172" s="2"/>
      <c r="P172" s="4">
        <v>1</v>
      </c>
      <c r="Q172" s="2" t="s">
        <v>1564</v>
      </c>
      <c r="R172" s="11">
        <f>SUBTOTAL(3,_xlfn.SINGLE(tbl_file[RowId]))</f>
        <v>1</v>
      </c>
    </row>
    <row r="173" spans="10:18">
      <c r="J173" s="4">
        <v>442</v>
      </c>
      <c r="K173" s="21" t="str">
        <f t="shared" si="4"/>
        <v>10th Step Homework</v>
      </c>
      <c r="L173" s="20" t="s">
        <v>175</v>
      </c>
      <c r="M173" s="4"/>
      <c r="N173" s="2" t="s">
        <v>129</v>
      </c>
      <c r="O173" s="2"/>
      <c r="P173" s="4">
        <v>1</v>
      </c>
      <c r="Q173" s="2" t="s">
        <v>1430</v>
      </c>
      <c r="R173" s="11">
        <f>SUBTOTAL(3,_xlfn.SINGLE(tbl_file[RowId]))</f>
        <v>1</v>
      </c>
    </row>
    <row r="174" spans="10:18">
      <c r="J174" s="4">
        <v>443</v>
      </c>
      <c r="K174" s="21" t="str">
        <f t="shared" si="4"/>
        <v>10th Step Homework</v>
      </c>
      <c r="L174" s="20" t="s">
        <v>175</v>
      </c>
      <c r="M174" s="4"/>
      <c r="N174" s="2" t="s">
        <v>2606</v>
      </c>
      <c r="O174" s="2"/>
      <c r="P174" s="4">
        <v>3</v>
      </c>
      <c r="Q174" s="2" t="s">
        <v>2689</v>
      </c>
      <c r="R174" s="11">
        <f>SUBTOTAL(3,_xlfn.SINGLE(tbl_file[RowId]))</f>
        <v>1</v>
      </c>
    </row>
    <row r="175" spans="10:18">
      <c r="J175" s="4">
        <v>444</v>
      </c>
      <c r="K175" s="21" t="str">
        <f t="shared" si="4"/>
        <v>10th Step Homework</v>
      </c>
      <c r="L175" s="20" t="s">
        <v>175</v>
      </c>
      <c r="M175" s="4" t="s">
        <v>2626</v>
      </c>
      <c r="N175" s="2" t="s">
        <v>53</v>
      </c>
      <c r="O175" s="2"/>
      <c r="P175" s="4">
        <v>1</v>
      </c>
      <c r="Q175" s="2" t="s">
        <v>1717</v>
      </c>
      <c r="R175" s="11">
        <f>SUBTOTAL(3,_xlfn.SINGLE(tbl_file[RowId]))</f>
        <v>1</v>
      </c>
    </row>
    <row r="176" spans="10:18">
      <c r="J176" s="4">
        <v>445</v>
      </c>
      <c r="K176" s="21" t="str">
        <f t="shared" si="4"/>
        <v>10th Step Homework</v>
      </c>
      <c r="L176" s="20" t="s">
        <v>175</v>
      </c>
      <c r="M176" s="4" t="s">
        <v>2626</v>
      </c>
      <c r="N176" s="2" t="s">
        <v>2606</v>
      </c>
      <c r="O176" s="2"/>
      <c r="P176" s="4">
        <v>2</v>
      </c>
      <c r="Q176" s="2" t="s">
        <v>2690</v>
      </c>
      <c r="R176" s="11">
        <f>SUBTOTAL(3,_xlfn.SINGLE(tbl_file[RowId]))</f>
        <v>1</v>
      </c>
    </row>
    <row r="177" spans="10:18">
      <c r="J177" s="4">
        <v>446</v>
      </c>
      <c r="K177" s="21" t="str">
        <f>HYPERLINK("obsidian://open?vault=o2&amp;file=12%20Favorite%20Problems.md","12 Favorite Problems")</f>
        <v>12 Favorite Problems</v>
      </c>
      <c r="L177" s="20" t="s">
        <v>175</v>
      </c>
      <c r="M177" s="4"/>
      <c r="N177" s="2" t="s">
        <v>50</v>
      </c>
      <c r="O177" s="2"/>
      <c r="P177" s="4">
        <v>1</v>
      </c>
      <c r="Q177" s="2" t="s">
        <v>1436</v>
      </c>
      <c r="R177" s="11">
        <f>SUBTOTAL(3,_xlfn.SINGLE(tbl_file[RowId]))</f>
        <v>1</v>
      </c>
    </row>
    <row r="178" spans="10:18">
      <c r="J178" s="4">
        <v>360</v>
      </c>
      <c r="K178" s="21" t="str">
        <f>HYPERLINK("obsidian://open?vault=o2&amp;file=12%20Step%20Poetry.md","12 Step Poetry")</f>
        <v>12 Step Poetry</v>
      </c>
      <c r="L178" s="20" t="s">
        <v>175</v>
      </c>
      <c r="M178" s="4"/>
      <c r="N178" s="2" t="s">
        <v>50</v>
      </c>
      <c r="O178" s="2"/>
      <c r="P178" s="4">
        <v>3</v>
      </c>
      <c r="Q178" s="2" t="s">
        <v>2669</v>
      </c>
      <c r="R178" s="11">
        <f>SUBTOTAL(3,_xlfn.SINGLE(tbl_file[RowId]))</f>
        <v>1</v>
      </c>
    </row>
    <row r="179" spans="10:18">
      <c r="J179" s="4">
        <v>361</v>
      </c>
      <c r="K179" s="21" t="str">
        <f>HYPERLINK("obsidian://open?vault=o2&amp;file=12%20Step%20Poetry.md","12 Step Poetry")</f>
        <v>12 Step Poetry</v>
      </c>
      <c r="L179" s="20" t="s">
        <v>175</v>
      </c>
      <c r="M179" s="4"/>
      <c r="N179" s="2" t="s">
        <v>127</v>
      </c>
      <c r="O179" s="2"/>
      <c r="P179" s="4">
        <v>1</v>
      </c>
      <c r="Q179" s="2" t="s">
        <v>1958</v>
      </c>
      <c r="R179" s="11">
        <f>SUBTOTAL(3,_xlfn.SINGLE(tbl_file[RowId]))</f>
        <v>1</v>
      </c>
    </row>
    <row r="180" spans="10:18">
      <c r="J180" s="4">
        <v>362</v>
      </c>
      <c r="K180" s="21" t="str">
        <f>HYPERLINK("obsidian://open?vault=o2&amp;file=12%20Step%20Poetry.md","12 Step Poetry")</f>
        <v>12 Step Poetry</v>
      </c>
      <c r="L180" s="20" t="s">
        <v>175</v>
      </c>
      <c r="M180" s="4"/>
      <c r="N180" s="2" t="s">
        <v>2606</v>
      </c>
      <c r="O180" s="2"/>
      <c r="P180" s="4">
        <v>4</v>
      </c>
      <c r="Q180" s="2" t="s">
        <v>2670</v>
      </c>
      <c r="R180" s="11">
        <f>SUBTOTAL(3,_xlfn.SINGLE(tbl_file[RowId]))</f>
        <v>1</v>
      </c>
    </row>
    <row r="181" spans="10:18">
      <c r="J181" s="4">
        <v>363</v>
      </c>
      <c r="K181" s="21" t="str">
        <f>HYPERLINK("obsidian://open?vault=o2&amp;file=12%20Step%20Poetry.md","12 Step Poetry")</f>
        <v>12 Step Poetry</v>
      </c>
      <c r="L181" s="20" t="s">
        <v>175</v>
      </c>
      <c r="M181" s="4"/>
      <c r="N181" s="2" t="s">
        <v>133</v>
      </c>
      <c r="O181" s="2"/>
      <c r="P181" s="4">
        <v>1</v>
      </c>
      <c r="Q181" s="2" t="s">
        <v>2111</v>
      </c>
      <c r="R181" s="11">
        <f>SUBTOTAL(3,_xlfn.SINGLE(tbl_file[RowId]))</f>
        <v>1</v>
      </c>
    </row>
    <row r="182" spans="10:18">
      <c r="J182" s="4">
        <v>928</v>
      </c>
      <c r="K182" s="21" t="str">
        <f t="shared" ref="K182:K191" si="5">HYPERLINK("obsidian://open?vault=o2&amp;file=13%20Crucial%20Questions%20to%20Ask%20a%20Realtor%20When%20Selling.md","13 Crucial Questions to Ask a Realtor When Selling")</f>
        <v>13 Crucial Questions to Ask a Realtor When Selling</v>
      </c>
      <c r="L182" s="20" t="s">
        <v>175</v>
      </c>
      <c r="M182" s="4"/>
      <c r="N182" s="2" t="s">
        <v>13</v>
      </c>
      <c r="O182" s="2"/>
      <c r="P182" s="4">
        <v>1</v>
      </c>
      <c r="Q182" s="2" t="s">
        <v>310</v>
      </c>
      <c r="R182" s="11">
        <f>SUBTOTAL(3,_xlfn.SINGLE(tbl_file[RowId]))</f>
        <v>1</v>
      </c>
    </row>
    <row r="183" spans="10:18">
      <c r="J183" s="4">
        <v>929</v>
      </c>
      <c r="K183" s="21" t="str">
        <f t="shared" si="5"/>
        <v>13 Crucial Questions to Ask a Realtor When Selling</v>
      </c>
      <c r="L183" s="20" t="s">
        <v>175</v>
      </c>
      <c r="M183" s="4"/>
      <c r="N183" s="2" t="s">
        <v>19</v>
      </c>
      <c r="O183" s="2"/>
      <c r="P183" s="4">
        <v>1</v>
      </c>
      <c r="Q183" s="2" t="s">
        <v>2964</v>
      </c>
      <c r="R183" s="11">
        <f>SUBTOTAL(3,_xlfn.SINGLE(tbl_file[RowId]))</f>
        <v>1</v>
      </c>
    </row>
    <row r="184" spans="10:18">
      <c r="J184" s="4">
        <v>930</v>
      </c>
      <c r="K184" s="21" t="str">
        <f t="shared" si="5"/>
        <v>13 Crucial Questions to Ask a Realtor When Selling</v>
      </c>
      <c r="L184" s="20" t="s">
        <v>175</v>
      </c>
      <c r="M184" s="4"/>
      <c r="N184" s="2" t="s">
        <v>33</v>
      </c>
      <c r="O184" s="2"/>
      <c r="P184" s="4">
        <v>1</v>
      </c>
      <c r="Q184" s="2" t="s">
        <v>465</v>
      </c>
      <c r="R184" s="11">
        <f>SUBTOTAL(3,_xlfn.SINGLE(tbl_file[RowId]))</f>
        <v>1</v>
      </c>
    </row>
    <row r="185" spans="10:18">
      <c r="J185" s="4">
        <v>931</v>
      </c>
      <c r="K185" s="21" t="str">
        <f t="shared" si="5"/>
        <v>13 Crucial Questions to Ask a Realtor When Selling</v>
      </c>
      <c r="L185" s="20" t="s">
        <v>175</v>
      </c>
      <c r="M185" s="4"/>
      <c r="N185" s="2" t="s">
        <v>46</v>
      </c>
      <c r="O185" s="2"/>
      <c r="P185" s="4">
        <v>1</v>
      </c>
      <c r="Q185" s="2" t="s">
        <v>639</v>
      </c>
      <c r="R185" s="11">
        <f>SUBTOTAL(3,_xlfn.SINGLE(tbl_file[RowId]))</f>
        <v>1</v>
      </c>
    </row>
    <row r="186" spans="10:18">
      <c r="J186" s="4">
        <v>932</v>
      </c>
      <c r="K186" s="21" t="str">
        <f t="shared" si="5"/>
        <v>13 Crucial Questions to Ask a Realtor When Selling</v>
      </c>
      <c r="L186" s="20" t="s">
        <v>175</v>
      </c>
      <c r="M186" s="4"/>
      <c r="N186" s="2" t="s">
        <v>48</v>
      </c>
      <c r="O186" s="2"/>
      <c r="P186" s="4">
        <v>4</v>
      </c>
      <c r="Q186" s="2" t="s">
        <v>2965</v>
      </c>
      <c r="R186" s="11">
        <f>SUBTOTAL(3,_xlfn.SINGLE(tbl_file[RowId]))</f>
        <v>1</v>
      </c>
    </row>
    <row r="187" spans="10:18">
      <c r="J187" s="4">
        <v>933</v>
      </c>
      <c r="K187" s="21" t="str">
        <f t="shared" si="5"/>
        <v>13 Crucial Questions to Ask a Realtor When Selling</v>
      </c>
      <c r="L187" s="20" t="s">
        <v>175</v>
      </c>
      <c r="M187" s="4"/>
      <c r="N187" s="2" t="s">
        <v>50</v>
      </c>
      <c r="O187" s="2"/>
      <c r="P187" s="4">
        <v>1</v>
      </c>
      <c r="Q187" s="2" t="s">
        <v>1674</v>
      </c>
      <c r="R187" s="11">
        <f>SUBTOTAL(3,_xlfn.SINGLE(tbl_file[RowId]))</f>
        <v>1</v>
      </c>
    </row>
    <row r="188" spans="10:18">
      <c r="J188" s="4">
        <v>934</v>
      </c>
      <c r="K188" s="21" t="str">
        <f t="shared" si="5"/>
        <v>13 Crucial Questions to Ask a Realtor When Selling</v>
      </c>
      <c r="L188" s="20" t="s">
        <v>175</v>
      </c>
      <c r="M188" s="4"/>
      <c r="N188" s="2" t="s">
        <v>125</v>
      </c>
      <c r="O188" s="2"/>
      <c r="P188" s="4">
        <v>1</v>
      </c>
      <c r="Q188" s="2" t="s">
        <v>1893</v>
      </c>
      <c r="R188" s="11">
        <f>SUBTOTAL(3,_xlfn.SINGLE(tbl_file[RowId]))</f>
        <v>1</v>
      </c>
    </row>
    <row r="189" spans="10:18">
      <c r="J189" s="4">
        <v>935</v>
      </c>
      <c r="K189" s="21" t="str">
        <f t="shared" si="5"/>
        <v>13 Crucial Questions to Ask a Realtor When Selling</v>
      </c>
      <c r="L189" s="20" t="s">
        <v>175</v>
      </c>
      <c r="M189" s="4"/>
      <c r="N189" s="2" t="s">
        <v>2606</v>
      </c>
      <c r="O189" s="2"/>
      <c r="P189" s="4">
        <v>1</v>
      </c>
      <c r="Q189" s="2" t="s">
        <v>2378</v>
      </c>
      <c r="R189" s="11">
        <f>SUBTOTAL(3,_xlfn.SINGLE(tbl_file[RowId]))</f>
        <v>1</v>
      </c>
    </row>
    <row r="190" spans="10:18">
      <c r="J190" s="4">
        <v>936</v>
      </c>
      <c r="K190" s="21" t="str">
        <f t="shared" si="5"/>
        <v>13 Crucial Questions to Ask a Realtor When Selling</v>
      </c>
      <c r="L190" s="20" t="s">
        <v>175</v>
      </c>
      <c r="M190" s="4"/>
      <c r="N190" s="2" t="s">
        <v>132</v>
      </c>
      <c r="O190" s="2"/>
      <c r="P190" s="4">
        <v>1</v>
      </c>
      <c r="Q190" s="2" t="s">
        <v>2023</v>
      </c>
      <c r="R190" s="11">
        <f>SUBTOTAL(3,_xlfn.SINGLE(tbl_file[RowId]))</f>
        <v>1</v>
      </c>
    </row>
    <row r="191" spans="10:18">
      <c r="J191" s="4">
        <v>937</v>
      </c>
      <c r="K191" s="21" t="str">
        <f t="shared" si="5"/>
        <v>13 Crucial Questions to Ask a Realtor When Selling</v>
      </c>
      <c r="L191" s="20" t="s">
        <v>175</v>
      </c>
      <c r="M191" s="4"/>
      <c r="N191" s="2" t="s">
        <v>137</v>
      </c>
      <c r="O191" s="2"/>
      <c r="P191" s="4">
        <v>1</v>
      </c>
      <c r="Q191" s="2" t="s">
        <v>2209</v>
      </c>
      <c r="R191" s="11">
        <f>SUBTOTAL(3,_xlfn.SINGLE(tbl_file[RowId]))</f>
        <v>1</v>
      </c>
    </row>
    <row r="192" spans="10:18">
      <c r="J192" s="4">
        <v>447</v>
      </c>
      <c r="K192" s="21" t="str">
        <f>HYPERLINK("obsidian://open?vault=o2&amp;file=17%20Habits%20of%20the%20Self-Destructive%20Person%20%28%2B%20How%20to%20Stop%29.md","17 Habits of the Self-Destructive Person (+ How to Stop)")</f>
        <v>17 Habits of the Self-Destructive Person (+ How to Stop)</v>
      </c>
      <c r="L192" s="20" t="s">
        <v>175</v>
      </c>
      <c r="M192" s="4"/>
      <c r="N192" s="2" t="s">
        <v>33</v>
      </c>
      <c r="O192" s="2"/>
      <c r="P192" s="4">
        <v>1</v>
      </c>
      <c r="Q192" s="2" t="s">
        <v>447</v>
      </c>
      <c r="R192" s="11">
        <f>SUBTOTAL(3,_xlfn.SINGLE(tbl_file[RowId]))</f>
        <v>1</v>
      </c>
    </row>
    <row r="193" spans="10:18">
      <c r="J193" s="4">
        <v>448</v>
      </c>
      <c r="K193" s="21" t="str">
        <f>HYPERLINK("obsidian://open?vault=o2&amp;file=17%20Habits%20of%20the%20Self-Destructive%20Person%20%28%2B%20How%20to%20Stop%29.md","17 Habits of the Self-Destructive Person (+ How to Stop)")</f>
        <v>17 Habits of the Self-Destructive Person (+ How to Stop)</v>
      </c>
      <c r="L193" s="20" t="s">
        <v>175</v>
      </c>
      <c r="M193" s="4"/>
      <c r="N193" s="2" t="s">
        <v>46</v>
      </c>
      <c r="O193" s="2"/>
      <c r="P193" s="4">
        <v>1</v>
      </c>
      <c r="Q193" s="2" t="s">
        <v>624</v>
      </c>
      <c r="R193" s="11">
        <f>SUBTOTAL(3,_xlfn.SINGLE(tbl_file[RowId]))</f>
        <v>1</v>
      </c>
    </row>
    <row r="194" spans="10:18">
      <c r="J194" s="4">
        <v>449</v>
      </c>
      <c r="K194" s="21" t="str">
        <f>HYPERLINK("obsidian://open?vault=o2&amp;file=17%20Habits%20of%20the%20Self-Destructive%20Person%20%28%2B%20How%20to%20Stop%29.md","17 Habits of the Self-Destructive Person (+ How to Stop)")</f>
        <v>17 Habits of the Self-Destructive Person (+ How to Stop)</v>
      </c>
      <c r="L194" s="20" t="s">
        <v>175</v>
      </c>
      <c r="M194" s="4"/>
      <c r="N194" s="2" t="s">
        <v>132</v>
      </c>
      <c r="O194" s="2"/>
      <c r="P194" s="4">
        <v>1</v>
      </c>
      <c r="Q194" s="2" t="s">
        <v>2025</v>
      </c>
      <c r="R194" s="11">
        <f>SUBTOTAL(3,_xlfn.SINGLE(tbl_file[RowId]))</f>
        <v>1</v>
      </c>
    </row>
    <row r="195" spans="10:18">
      <c r="J195" s="4">
        <v>450</v>
      </c>
      <c r="K195" s="21" t="str">
        <f>HYPERLINK("obsidian://open?vault=o2&amp;file=17%20Habits%20of%20the%20Self-Destructive%20Person%20%28%2B%20How%20to%20Stop%29.md","17 Habits of the Self-Destructive Person (+ How to Stop)")</f>
        <v>17 Habits of the Self-Destructive Person (+ How to Stop)</v>
      </c>
      <c r="L195" s="20" t="s">
        <v>175</v>
      </c>
      <c r="M195" s="4"/>
      <c r="N195" s="2" t="s">
        <v>137</v>
      </c>
      <c r="O195" s="2"/>
      <c r="P195" s="4">
        <v>1</v>
      </c>
      <c r="Q195" s="2" t="s">
        <v>2171</v>
      </c>
      <c r="R195" s="11">
        <f>SUBTOTAL(3,_xlfn.SINGLE(tbl_file[RowId]))</f>
        <v>1</v>
      </c>
    </row>
    <row r="196" spans="10:18">
      <c r="J196" s="4">
        <v>451</v>
      </c>
      <c r="K196" s="21" t="str">
        <f>HYPERLINK("obsidian://open?vault=o2&amp;file=17%20Habits%20of%20the%20Self-Destructive%20Person%20%28%2B%20How%20to%20Stop%29.md","17 Habits of the Self-Destructive Person (+ How to Stop)")</f>
        <v>17 Habits of the Self-Destructive Person (+ How to Stop)</v>
      </c>
      <c r="L196" s="20" t="s">
        <v>175</v>
      </c>
      <c r="M196" s="4" t="s">
        <v>2626</v>
      </c>
      <c r="N196" s="2" t="s">
        <v>2606</v>
      </c>
      <c r="O196" s="2"/>
      <c r="P196" s="4">
        <v>4</v>
      </c>
      <c r="Q196" s="2" t="s">
        <v>2691</v>
      </c>
      <c r="R196" s="11">
        <f>SUBTOTAL(3,_xlfn.SINGLE(tbl_file[RowId]))</f>
        <v>1</v>
      </c>
    </row>
    <row r="197" spans="10:18">
      <c r="J197" s="4">
        <v>3</v>
      </c>
      <c r="K197" s="21" t="str">
        <f>HYPERLINK("obsidian://open?vault=o2&amp;file=1-Projects.md","1-Projects")</f>
        <v>1-Projects</v>
      </c>
      <c r="L197" s="20" t="s">
        <v>175</v>
      </c>
      <c r="M197" s="4"/>
      <c r="N197" s="2" t="s">
        <v>23</v>
      </c>
      <c r="O197" s="2"/>
      <c r="P197" s="4">
        <v>1</v>
      </c>
      <c r="Q197" s="2" t="s">
        <v>420</v>
      </c>
      <c r="R197" s="11">
        <f>SUBTOTAL(3,_xlfn.SINGLE(tbl_file[RowId]))</f>
        <v>1</v>
      </c>
    </row>
    <row r="198" spans="10:18">
      <c r="J198" s="4">
        <v>4</v>
      </c>
      <c r="K198" s="21" t="str">
        <f>HYPERLINK("obsidian://open?vault=o2&amp;file=1-Projects.md","1-Projects")</f>
        <v>1-Projects</v>
      </c>
      <c r="L198" s="20" t="s">
        <v>175</v>
      </c>
      <c r="M198" s="4"/>
      <c r="N198" s="2" t="s">
        <v>127</v>
      </c>
      <c r="O198" s="2"/>
      <c r="P198" s="4">
        <v>1</v>
      </c>
      <c r="Q198" s="2" t="s">
        <v>1942</v>
      </c>
      <c r="R198" s="11">
        <f>SUBTOTAL(3,_xlfn.SINGLE(tbl_file[RowId]))</f>
        <v>1</v>
      </c>
    </row>
    <row r="199" spans="10:18">
      <c r="J199" s="4">
        <v>5</v>
      </c>
      <c r="K199" s="21" t="str">
        <f>HYPERLINK("obsidian://open?vault=o2&amp;file=1-Projects.md","1-Projects")</f>
        <v>1-Projects</v>
      </c>
      <c r="L199" s="20" t="s">
        <v>175</v>
      </c>
      <c r="M199" s="4"/>
      <c r="N199" s="2" t="s">
        <v>2606</v>
      </c>
      <c r="O199" s="2"/>
      <c r="P199" s="4">
        <v>1</v>
      </c>
      <c r="Q199" s="2" t="s">
        <v>2292</v>
      </c>
      <c r="R199" s="11">
        <f>SUBTOTAL(3,_xlfn.SINGLE(tbl_file[RowId]))</f>
        <v>1</v>
      </c>
    </row>
    <row r="200" spans="10:18">
      <c r="J200" s="4">
        <v>538</v>
      </c>
      <c r="K200" s="21" t="str">
        <f t="shared" ref="K200:K210" si="6">HYPERLINK("obsidian://open?vault=o2&amp;file=20%20AMAZING%20Art%20Workspace%20Hacks%20%28FREE%20or%20cheap%21%29.md","20 AMAZING Art Workspace Hacks (FREE or cheap!)")</f>
        <v>20 AMAZING Art Workspace Hacks (FREE or cheap!)</v>
      </c>
      <c r="L200" s="20" t="s">
        <v>175</v>
      </c>
      <c r="M200" s="4"/>
      <c r="N200" s="2" t="s">
        <v>11</v>
      </c>
      <c r="O200" s="2"/>
      <c r="P200" s="4">
        <v>1</v>
      </c>
      <c r="Q200" s="2" t="s">
        <v>180</v>
      </c>
      <c r="R200" s="11">
        <f>SUBTOTAL(3,_xlfn.SINGLE(tbl_file[RowId]))</f>
        <v>1</v>
      </c>
    </row>
    <row r="201" spans="10:18">
      <c r="J201" s="4">
        <v>539</v>
      </c>
      <c r="K201" s="21" t="str">
        <f t="shared" si="6"/>
        <v>20 AMAZING Art Workspace Hacks (FREE or cheap!)</v>
      </c>
      <c r="L201" s="20" t="s">
        <v>175</v>
      </c>
      <c r="M201" s="4"/>
      <c r="N201" s="2" t="s">
        <v>13</v>
      </c>
      <c r="O201" s="2"/>
      <c r="P201" s="4">
        <v>1</v>
      </c>
      <c r="Q201" s="2" t="s">
        <v>302</v>
      </c>
      <c r="R201" s="11">
        <f>SUBTOTAL(3,_xlfn.SINGLE(tbl_file[RowId]))</f>
        <v>1</v>
      </c>
    </row>
    <row r="202" spans="10:18">
      <c r="J202" s="4">
        <v>540</v>
      </c>
      <c r="K202" s="21" t="str">
        <f t="shared" si="6"/>
        <v>20 AMAZING Art Workspace Hacks (FREE or cheap!)</v>
      </c>
      <c r="L202" s="20" t="s">
        <v>175</v>
      </c>
      <c r="M202" s="4"/>
      <c r="N202" s="2" t="s">
        <v>16</v>
      </c>
      <c r="O202" s="2"/>
      <c r="P202" s="4">
        <v>1</v>
      </c>
      <c r="Q202" s="2" t="s">
        <v>302</v>
      </c>
      <c r="R202" s="11">
        <f>SUBTOTAL(3,_xlfn.SINGLE(tbl_file[RowId]))</f>
        <v>1</v>
      </c>
    </row>
    <row r="203" spans="10:18">
      <c r="J203" s="4">
        <v>541</v>
      </c>
      <c r="K203" s="21" t="str">
        <f t="shared" si="6"/>
        <v>20 AMAZING Art Workspace Hacks (FREE or cheap!)</v>
      </c>
      <c r="L203" s="20" t="s">
        <v>175</v>
      </c>
      <c r="M203" s="4"/>
      <c r="N203" s="2" t="s">
        <v>37</v>
      </c>
      <c r="O203" s="2"/>
      <c r="P203" s="4">
        <v>1</v>
      </c>
      <c r="Q203" s="2" t="s">
        <v>579</v>
      </c>
      <c r="R203" s="11">
        <f>SUBTOTAL(3,_xlfn.SINGLE(tbl_file[RowId]))</f>
        <v>1</v>
      </c>
    </row>
    <row r="204" spans="10:18">
      <c r="J204" s="4">
        <v>542</v>
      </c>
      <c r="K204" s="21" t="str">
        <f t="shared" si="6"/>
        <v>20 AMAZING Art Workspace Hacks (FREE or cheap!)</v>
      </c>
      <c r="L204" s="20" t="s">
        <v>175</v>
      </c>
      <c r="M204" s="4"/>
      <c r="N204" s="2" t="s">
        <v>48</v>
      </c>
      <c r="O204" s="2"/>
      <c r="P204" s="4">
        <v>11</v>
      </c>
      <c r="Q204" s="2" t="s">
        <v>2706</v>
      </c>
      <c r="R204" s="11">
        <f>SUBTOTAL(3,_xlfn.SINGLE(tbl_file[RowId]))</f>
        <v>1</v>
      </c>
    </row>
    <row r="205" spans="10:18">
      <c r="J205" s="4">
        <v>543</v>
      </c>
      <c r="K205" s="21" t="str">
        <f t="shared" si="6"/>
        <v>20 AMAZING Art Workspace Hacks (FREE or cheap!)</v>
      </c>
      <c r="L205" s="20" t="s">
        <v>175</v>
      </c>
      <c r="M205" s="4"/>
      <c r="N205" s="2" t="s">
        <v>119</v>
      </c>
      <c r="O205" s="2"/>
      <c r="P205" s="4">
        <v>1</v>
      </c>
      <c r="Q205" s="2" t="s">
        <v>2707</v>
      </c>
      <c r="R205" s="11">
        <f>SUBTOTAL(3,_xlfn.SINGLE(tbl_file[RowId]))</f>
        <v>1</v>
      </c>
    </row>
    <row r="206" spans="10:18">
      <c r="J206" s="4">
        <v>544</v>
      </c>
      <c r="K206" s="21" t="str">
        <f t="shared" si="6"/>
        <v>20 AMAZING Art Workspace Hacks (FREE or cheap!)</v>
      </c>
      <c r="L206" s="20" t="s">
        <v>175</v>
      </c>
      <c r="M206" s="4"/>
      <c r="N206" s="2" t="s">
        <v>126</v>
      </c>
      <c r="O206" s="2"/>
      <c r="P206" s="4">
        <v>1</v>
      </c>
      <c r="Q206" s="2" t="s">
        <v>2708</v>
      </c>
      <c r="R206" s="11">
        <f>SUBTOTAL(3,_xlfn.SINGLE(tbl_file[RowId]))</f>
        <v>1</v>
      </c>
    </row>
    <row r="207" spans="10:18">
      <c r="J207" s="4">
        <v>545</v>
      </c>
      <c r="K207" s="21" t="str">
        <f t="shared" si="6"/>
        <v>20 AMAZING Art Workspace Hacks (FREE or cheap!)</v>
      </c>
      <c r="L207" s="20" t="s">
        <v>175</v>
      </c>
      <c r="M207" s="4"/>
      <c r="N207" s="2" t="s">
        <v>2606</v>
      </c>
      <c r="O207" s="2"/>
      <c r="P207" s="4">
        <v>2</v>
      </c>
      <c r="Q207" s="2" t="s">
        <v>2709</v>
      </c>
      <c r="R207" s="11">
        <f>SUBTOTAL(3,_xlfn.SINGLE(tbl_file[RowId]))</f>
        <v>1</v>
      </c>
    </row>
    <row r="208" spans="10:18">
      <c r="J208" s="4">
        <v>546</v>
      </c>
      <c r="K208" s="21" t="str">
        <f t="shared" si="6"/>
        <v>20 AMAZING Art Workspace Hacks (FREE or cheap!)</v>
      </c>
      <c r="L208" s="20" t="s">
        <v>175</v>
      </c>
      <c r="M208" s="4"/>
      <c r="N208" s="2" t="s">
        <v>131</v>
      </c>
      <c r="O208" s="2"/>
      <c r="P208" s="4">
        <v>1</v>
      </c>
      <c r="Q208" s="2" t="s">
        <v>2021</v>
      </c>
      <c r="R208" s="11">
        <f>SUBTOTAL(3,_xlfn.SINGLE(tbl_file[RowId]))</f>
        <v>1</v>
      </c>
    </row>
    <row r="209" spans="10:18">
      <c r="J209" s="4">
        <v>547</v>
      </c>
      <c r="K209" s="21" t="str">
        <f t="shared" si="6"/>
        <v>20 AMAZING Art Workspace Hacks (FREE or cheap!)</v>
      </c>
      <c r="L209" s="20" t="s">
        <v>175</v>
      </c>
      <c r="M209" s="4"/>
      <c r="N209" s="2" t="s">
        <v>132</v>
      </c>
      <c r="O209" s="2"/>
      <c r="P209" s="4">
        <v>1</v>
      </c>
      <c r="Q209" s="2" t="s">
        <v>180</v>
      </c>
      <c r="R209" s="11">
        <f>SUBTOTAL(3,_xlfn.SINGLE(tbl_file[RowId]))</f>
        <v>1</v>
      </c>
    </row>
    <row r="210" spans="10:18">
      <c r="J210" s="4">
        <v>548</v>
      </c>
      <c r="K210" s="21" t="str">
        <f t="shared" si="6"/>
        <v>20 AMAZING Art Workspace Hacks (FREE or cheap!)</v>
      </c>
      <c r="L210" s="20" t="s">
        <v>175</v>
      </c>
      <c r="M210" s="4"/>
      <c r="N210" s="2" t="s">
        <v>137</v>
      </c>
      <c r="O210" s="2"/>
      <c r="P210" s="4">
        <v>1</v>
      </c>
      <c r="Q210" s="2" t="s">
        <v>2251</v>
      </c>
      <c r="R210" s="11">
        <f>SUBTOTAL(3,_xlfn.SINGLE(tbl_file[RowId]))</f>
        <v>1</v>
      </c>
    </row>
    <row r="211" spans="10:18">
      <c r="J211" s="4">
        <v>1883</v>
      </c>
      <c r="K211" s="21" t="str">
        <f>HYPERLINK("obsidian://open?vault=o2&amp;file=2022.md","2022")</f>
        <v>2022</v>
      </c>
      <c r="L211" s="20" t="s">
        <v>175</v>
      </c>
      <c r="M211" s="4"/>
      <c r="N211" s="2" t="s">
        <v>15</v>
      </c>
      <c r="O211" s="2"/>
      <c r="P211" s="4">
        <v>1</v>
      </c>
      <c r="Q211" s="2" t="s">
        <v>358</v>
      </c>
      <c r="R211" s="11">
        <f>SUBTOTAL(3,_xlfn.SINGLE(tbl_file[RowId]))</f>
        <v>1</v>
      </c>
    </row>
    <row r="212" spans="10:18">
      <c r="J212" s="4">
        <v>1884</v>
      </c>
      <c r="K212" s="21" t="str">
        <f>HYPERLINK("obsidian://open?vault=o2&amp;file=2022.md","2022")</f>
        <v>2022</v>
      </c>
      <c r="L212" s="20" t="s">
        <v>175</v>
      </c>
      <c r="M212" s="4"/>
      <c r="N212" s="2" t="s">
        <v>117</v>
      </c>
      <c r="O212" s="2"/>
      <c r="P212" s="4">
        <v>1</v>
      </c>
      <c r="Q212" s="2" t="s">
        <v>1795</v>
      </c>
      <c r="R212" s="11">
        <f>SUBTOTAL(3,_xlfn.SINGLE(tbl_file[RowId]))</f>
        <v>1</v>
      </c>
    </row>
    <row r="213" spans="10:18">
      <c r="J213" s="4">
        <v>1885</v>
      </c>
      <c r="K213" s="21" t="str">
        <f>HYPERLINK("obsidian://open?vault=o2&amp;file=2022.md","2022")</f>
        <v>2022</v>
      </c>
      <c r="L213" s="20" t="s">
        <v>175</v>
      </c>
      <c r="M213" s="4"/>
      <c r="N213" s="2" t="s">
        <v>130</v>
      </c>
      <c r="O213" s="2"/>
      <c r="P213" s="4">
        <v>1</v>
      </c>
      <c r="Q213" s="2" t="s">
        <v>1983</v>
      </c>
      <c r="R213" s="11">
        <f>SUBTOTAL(3,_xlfn.SINGLE(tbl_file[RowId]))</f>
        <v>1</v>
      </c>
    </row>
    <row r="214" spans="10:18">
      <c r="J214" s="4">
        <v>520</v>
      </c>
      <c r="K214" s="21" t="str">
        <f>HYPERLINK("obsidian://open?vault=o2&amp;file=2022%E2%80%99s%20seismic%20shift%20in%20US%20tech%20policy%20will%20change%20how%20we%20innovate.md","2022’s seismic shift in US tech policy will change how we innovate")</f>
        <v>2022’s seismic shift in US tech policy will change how we innovate</v>
      </c>
      <c r="L214" s="20" t="s">
        <v>175</v>
      </c>
      <c r="M214" s="4"/>
      <c r="N214" s="2" t="s">
        <v>33</v>
      </c>
      <c r="O214" s="2"/>
      <c r="P214" s="4">
        <v>1</v>
      </c>
      <c r="Q214" s="2" t="s">
        <v>449</v>
      </c>
      <c r="R214" s="11">
        <f>SUBTOTAL(3,_xlfn.SINGLE(tbl_file[RowId]))</f>
        <v>1</v>
      </c>
    </row>
    <row r="215" spans="10:18">
      <c r="J215" s="4">
        <v>521</v>
      </c>
      <c r="K215" s="21" t="str">
        <f>HYPERLINK("obsidian://open?vault=o2&amp;file=2022%E2%80%99s%20seismic%20shift%20in%20US%20tech%20policy%20will%20change%20how%20we%20innovate.md","2022’s seismic shift in US tech policy will change how we innovate")</f>
        <v>2022’s seismic shift in US tech policy will change how we innovate</v>
      </c>
      <c r="L215" s="20" t="s">
        <v>175</v>
      </c>
      <c r="M215" s="4"/>
      <c r="N215" s="2" t="s">
        <v>46</v>
      </c>
      <c r="O215" s="2"/>
      <c r="P215" s="4">
        <v>1</v>
      </c>
      <c r="Q215" s="2" t="s">
        <v>626</v>
      </c>
      <c r="R215" s="11">
        <f>SUBTOTAL(3,_xlfn.SINGLE(tbl_file[RowId]))</f>
        <v>1</v>
      </c>
    </row>
    <row r="216" spans="10:18">
      <c r="J216" s="4">
        <v>522</v>
      </c>
      <c r="K216" s="21" t="str">
        <f>HYPERLINK("obsidian://open?vault=o2&amp;file=2022%E2%80%99s%20seismic%20shift%20in%20US%20tech%20policy%20will%20change%20how%20we%20innovate.md","2022’s seismic shift in US tech policy will change how we innovate")</f>
        <v>2022’s seismic shift in US tech policy will change how we innovate</v>
      </c>
      <c r="L216" s="20" t="s">
        <v>175</v>
      </c>
      <c r="M216" s="4"/>
      <c r="N216" s="2" t="s">
        <v>132</v>
      </c>
      <c r="O216" s="2"/>
      <c r="P216" s="4">
        <v>1</v>
      </c>
      <c r="Q216" s="2" t="s">
        <v>2028</v>
      </c>
      <c r="R216" s="11">
        <f>SUBTOTAL(3,_xlfn.SINGLE(tbl_file[RowId]))</f>
        <v>1</v>
      </c>
    </row>
    <row r="217" spans="10:18">
      <c r="J217" s="4">
        <v>523</v>
      </c>
      <c r="K217" s="21" t="str">
        <f>HYPERLINK("obsidian://open?vault=o2&amp;file=2022%E2%80%99s%20seismic%20shift%20in%20US%20tech%20policy%20will%20change%20how%20we%20innovate.md","2022’s seismic shift in US tech policy will change how we innovate")</f>
        <v>2022’s seismic shift in US tech policy will change how we innovate</v>
      </c>
      <c r="L217" s="20" t="s">
        <v>175</v>
      </c>
      <c r="M217" s="4"/>
      <c r="N217" s="2" t="s">
        <v>137</v>
      </c>
      <c r="O217" s="2"/>
      <c r="P217" s="4">
        <v>1</v>
      </c>
      <c r="Q217" s="2" t="s">
        <v>2211</v>
      </c>
      <c r="R217" s="11">
        <f>SUBTOTAL(3,_xlfn.SINGLE(tbl_file[RowId]))</f>
        <v>1</v>
      </c>
    </row>
    <row r="218" spans="10:18">
      <c r="J218" s="4">
        <v>1347</v>
      </c>
      <c r="K218" s="21" t="str">
        <f>HYPERLINK("obsidian://open?vault=o2&amp;file=2022-12-09.md","2022-12-09")</f>
        <v>2022-12-09</v>
      </c>
      <c r="L218" s="20" t="s">
        <v>175</v>
      </c>
      <c r="M218" s="4"/>
      <c r="N218" s="2" t="s">
        <v>2606</v>
      </c>
      <c r="O218" s="2"/>
      <c r="P218" s="4">
        <v>1</v>
      </c>
      <c r="Q218" s="2" t="s">
        <v>2317</v>
      </c>
      <c r="R218" s="11">
        <f>SUBTOTAL(3,_xlfn.SINGLE(tbl_file[RowId]))</f>
        <v>1</v>
      </c>
    </row>
    <row r="219" spans="10:18">
      <c r="J219" s="4">
        <v>1348</v>
      </c>
      <c r="K219" s="21" t="str">
        <f>HYPERLINK("obsidian://open?vault=o2&amp;file=2022-12-25.md","2022-12-25")</f>
        <v>2022-12-25</v>
      </c>
      <c r="L219" s="20" t="s">
        <v>175</v>
      </c>
      <c r="M219" s="4"/>
      <c r="N219" s="2" t="s">
        <v>2606</v>
      </c>
      <c r="O219" s="2"/>
      <c r="P219" s="4">
        <v>1</v>
      </c>
      <c r="Q219" s="2" t="s">
        <v>2317</v>
      </c>
      <c r="R219" s="11">
        <f>SUBTOTAL(3,_xlfn.SINGLE(tbl_file[RowId]))</f>
        <v>1</v>
      </c>
    </row>
    <row r="220" spans="10:18">
      <c r="J220" s="4">
        <v>1865</v>
      </c>
      <c r="K220" s="21" t="str">
        <f>HYPERLINK("obsidian://open?vault=o2&amp;file=2022-M07.md","2022-M07")</f>
        <v>2022-M07</v>
      </c>
      <c r="L220" s="20" t="s">
        <v>175</v>
      </c>
      <c r="M220" s="4"/>
      <c r="N220" s="2" t="s">
        <v>15</v>
      </c>
      <c r="O220" s="2"/>
      <c r="P220" s="4">
        <v>1</v>
      </c>
      <c r="Q220" s="2" t="s">
        <v>352</v>
      </c>
      <c r="R220" s="11">
        <f>SUBTOTAL(3,_xlfn.SINGLE(tbl_file[RowId]))</f>
        <v>1</v>
      </c>
    </row>
    <row r="221" spans="10:18">
      <c r="J221" s="4">
        <v>1866</v>
      </c>
      <c r="K221" s="21" t="str">
        <f>HYPERLINK("obsidian://open?vault=o2&amp;file=2022-M07.md","2022-M07")</f>
        <v>2022-M07</v>
      </c>
      <c r="L221" s="20" t="s">
        <v>175</v>
      </c>
      <c r="M221" s="4"/>
      <c r="N221" s="2" t="s">
        <v>50</v>
      </c>
      <c r="O221" s="2"/>
      <c r="P221" s="4">
        <v>1</v>
      </c>
      <c r="Q221" s="2" t="s">
        <v>1708</v>
      </c>
      <c r="R221" s="11">
        <f>SUBTOTAL(3,_xlfn.SINGLE(tbl_file[RowId]))</f>
        <v>1</v>
      </c>
    </row>
    <row r="222" spans="10:18">
      <c r="J222" s="4">
        <v>1867</v>
      </c>
      <c r="K222" s="21" t="str">
        <f>HYPERLINK("obsidian://open?vault=o2&amp;file=2022-M07.md","2022-M07")</f>
        <v>2022-M07</v>
      </c>
      <c r="L222" s="20" t="s">
        <v>175</v>
      </c>
      <c r="M222" s="4"/>
      <c r="N222" s="2" t="s">
        <v>117</v>
      </c>
      <c r="O222" s="2"/>
      <c r="P222" s="4">
        <v>1</v>
      </c>
      <c r="Q222" s="2" t="s">
        <v>1789</v>
      </c>
      <c r="R222" s="11">
        <f>SUBTOTAL(3,_xlfn.SINGLE(tbl_file[RowId]))</f>
        <v>1</v>
      </c>
    </row>
    <row r="223" spans="10:18">
      <c r="J223" s="4">
        <v>1868</v>
      </c>
      <c r="K223" s="21" t="str">
        <f>HYPERLINK("obsidian://open?vault=o2&amp;file=2022-M07.md","2022-M07")</f>
        <v>2022-M07</v>
      </c>
      <c r="L223" s="20" t="s">
        <v>175</v>
      </c>
      <c r="M223" s="4"/>
      <c r="N223" s="2" t="s">
        <v>130</v>
      </c>
      <c r="O223" s="2"/>
      <c r="P223" s="4">
        <v>1</v>
      </c>
      <c r="Q223" s="2" t="s">
        <v>1977</v>
      </c>
      <c r="R223" s="11">
        <f>SUBTOTAL(3,_xlfn.SINGLE(tbl_file[RowId]))</f>
        <v>1</v>
      </c>
    </row>
    <row r="224" spans="10:18">
      <c r="J224" s="4">
        <v>1869</v>
      </c>
      <c r="K224" s="21" t="str">
        <f>HYPERLINK("obsidian://open?vault=o2&amp;file=2022-M07.md","2022-M07")</f>
        <v>2022-M07</v>
      </c>
      <c r="L224" s="20" t="s">
        <v>175</v>
      </c>
      <c r="M224" s="4"/>
      <c r="N224" s="2" t="s">
        <v>2606</v>
      </c>
      <c r="O224" s="2"/>
      <c r="P224" s="4">
        <v>1</v>
      </c>
      <c r="Q224" s="2" t="s">
        <v>2467</v>
      </c>
      <c r="R224" s="11">
        <f>SUBTOTAL(3,_xlfn.SINGLE(tbl_file[RowId]))</f>
        <v>1</v>
      </c>
    </row>
    <row r="225" spans="10:18">
      <c r="J225" s="4">
        <v>1870</v>
      </c>
      <c r="K225" s="21" t="str">
        <f>HYPERLINK("obsidian://open?vault=o2&amp;file=2022-Q3.md","2022-Q3")</f>
        <v>2022-Q3</v>
      </c>
      <c r="L225" s="20" t="s">
        <v>175</v>
      </c>
      <c r="M225" s="4"/>
      <c r="N225" s="2" t="s">
        <v>15</v>
      </c>
      <c r="O225" s="2"/>
      <c r="P225" s="4">
        <v>1</v>
      </c>
      <c r="Q225" s="2" t="s">
        <v>354</v>
      </c>
      <c r="R225" s="11">
        <f>SUBTOTAL(3,_xlfn.SINGLE(tbl_file[RowId]))</f>
        <v>1</v>
      </c>
    </row>
    <row r="226" spans="10:18">
      <c r="J226" s="4">
        <v>1871</v>
      </c>
      <c r="K226" s="21" t="str">
        <f>HYPERLINK("obsidian://open?vault=o2&amp;file=2022-Q3.md","2022-Q3")</f>
        <v>2022-Q3</v>
      </c>
      <c r="L226" s="20" t="s">
        <v>175</v>
      </c>
      <c r="M226" s="4"/>
      <c r="N226" s="2" t="s">
        <v>117</v>
      </c>
      <c r="O226" s="2"/>
      <c r="P226" s="4">
        <v>1</v>
      </c>
      <c r="Q226" s="2" t="s">
        <v>1791</v>
      </c>
      <c r="R226" s="11">
        <f>SUBTOTAL(3,_xlfn.SINGLE(tbl_file[RowId]))</f>
        <v>1</v>
      </c>
    </row>
    <row r="227" spans="10:18">
      <c r="J227" s="4">
        <v>1872</v>
      </c>
      <c r="K227" s="21" t="str">
        <f>HYPERLINK("obsidian://open?vault=o2&amp;file=2022-Q3.md","2022-Q3")</f>
        <v>2022-Q3</v>
      </c>
      <c r="L227" s="20" t="s">
        <v>175</v>
      </c>
      <c r="M227" s="4"/>
      <c r="N227" s="2" t="s">
        <v>130</v>
      </c>
      <c r="O227" s="2"/>
      <c r="P227" s="4">
        <v>1</v>
      </c>
      <c r="Q227" s="2" t="s">
        <v>1979</v>
      </c>
      <c r="R227" s="11">
        <f>SUBTOTAL(3,_xlfn.SINGLE(tbl_file[RowId]))</f>
        <v>1</v>
      </c>
    </row>
    <row r="228" spans="10:18">
      <c r="J228" s="4">
        <v>1878</v>
      </c>
      <c r="K228" s="21" t="str">
        <f>HYPERLINK("obsidian://open?vault=o2&amp;file=2022-W28.md","2022-W28")</f>
        <v>2022-W28</v>
      </c>
      <c r="L228" s="20" t="s">
        <v>175</v>
      </c>
      <c r="M228" s="4"/>
      <c r="N228" s="2" t="s">
        <v>15</v>
      </c>
      <c r="O228" s="2"/>
      <c r="P228" s="4">
        <v>1</v>
      </c>
      <c r="Q228" s="2" t="s">
        <v>356</v>
      </c>
      <c r="R228" s="11">
        <f>SUBTOTAL(3,_xlfn.SINGLE(tbl_file[RowId]))</f>
        <v>1</v>
      </c>
    </row>
    <row r="229" spans="10:18">
      <c r="J229" s="4">
        <v>1879</v>
      </c>
      <c r="K229" s="21" t="str">
        <f>HYPERLINK("obsidian://open?vault=o2&amp;file=2022-W28.md","2022-W28")</f>
        <v>2022-W28</v>
      </c>
      <c r="L229" s="20" t="s">
        <v>175</v>
      </c>
      <c r="M229" s="4"/>
      <c r="N229" s="2" t="s">
        <v>117</v>
      </c>
      <c r="O229" s="2"/>
      <c r="P229" s="4">
        <v>1</v>
      </c>
      <c r="Q229" s="2" t="s">
        <v>1793</v>
      </c>
      <c r="R229" s="11">
        <f>SUBTOTAL(3,_xlfn.SINGLE(tbl_file[RowId]))</f>
        <v>1</v>
      </c>
    </row>
    <row r="230" spans="10:18">
      <c r="J230" s="4">
        <v>1880</v>
      </c>
      <c r="K230" s="21" t="str">
        <f>HYPERLINK("obsidian://open?vault=o2&amp;file=2022-W28.md","2022-W28")</f>
        <v>2022-W28</v>
      </c>
      <c r="L230" s="20" t="s">
        <v>175</v>
      </c>
      <c r="M230" s="4"/>
      <c r="N230" s="2" t="s">
        <v>130</v>
      </c>
      <c r="O230" s="2"/>
      <c r="P230" s="4">
        <v>1</v>
      </c>
      <c r="Q230" s="2" t="s">
        <v>1981</v>
      </c>
      <c r="R230" s="11">
        <f>SUBTOTAL(3,_xlfn.SINGLE(tbl_file[RowId]))</f>
        <v>1</v>
      </c>
    </row>
    <row r="231" spans="10:18">
      <c r="J231" s="4">
        <v>1881</v>
      </c>
      <c r="K231" s="21" t="str">
        <f>HYPERLINK("obsidian://open?vault=o2&amp;file=2022-W34.md","2022-W34")</f>
        <v>2022-W34</v>
      </c>
      <c r="L231" s="20" t="s">
        <v>175</v>
      </c>
      <c r="M231" s="4"/>
      <c r="N231" s="2" t="s">
        <v>50</v>
      </c>
      <c r="O231" s="2"/>
      <c r="P231" s="4">
        <v>1</v>
      </c>
      <c r="Q231" s="2" t="s">
        <v>1710</v>
      </c>
      <c r="R231" s="11">
        <f>SUBTOTAL(3,_xlfn.SINGLE(tbl_file[RowId]))</f>
        <v>1</v>
      </c>
    </row>
    <row r="232" spans="10:18">
      <c r="J232" s="4">
        <v>1349</v>
      </c>
      <c r="K232" s="21" t="str">
        <f>HYPERLINK("obsidian://open?vault=o2&amp;file=2023-01-16.md","2023-01-16")</f>
        <v>2023-01-16</v>
      </c>
      <c r="L232" s="20" t="s">
        <v>175</v>
      </c>
      <c r="M232" s="4"/>
      <c r="N232" s="2" t="s">
        <v>2606</v>
      </c>
      <c r="O232" s="2"/>
      <c r="P232" s="4">
        <v>1</v>
      </c>
      <c r="Q232" s="2" t="s">
        <v>2317</v>
      </c>
      <c r="R232" s="11">
        <f>SUBTOTAL(3,_xlfn.SINGLE(tbl_file[RowId]))</f>
        <v>1</v>
      </c>
    </row>
    <row r="233" spans="10:18">
      <c r="J233" s="4">
        <v>1350</v>
      </c>
      <c r="K233" s="21" t="str">
        <f>HYPERLINK("obsidian://open?vault=o2&amp;file=2023-01-19.md","2023-01-19")</f>
        <v>2023-01-19</v>
      </c>
      <c r="L233" s="20" t="s">
        <v>175</v>
      </c>
      <c r="M233" s="4"/>
      <c r="N233" s="2" t="s">
        <v>2606</v>
      </c>
      <c r="O233" s="2"/>
      <c r="P233" s="4">
        <v>1</v>
      </c>
      <c r="Q233" s="2" t="s">
        <v>2317</v>
      </c>
      <c r="R233" s="11">
        <f>SUBTOTAL(3,_xlfn.SINGLE(tbl_file[RowId]))</f>
        <v>1</v>
      </c>
    </row>
    <row r="234" spans="10:18">
      <c r="J234" s="4">
        <v>1351</v>
      </c>
      <c r="K234" s="21" t="str">
        <f>HYPERLINK("obsidian://open?vault=o2&amp;file=2023-01-22.md","2023-01-22")</f>
        <v>2023-01-22</v>
      </c>
      <c r="L234" s="20" t="s">
        <v>175</v>
      </c>
      <c r="M234" s="4"/>
      <c r="N234" s="2" t="s">
        <v>2606</v>
      </c>
      <c r="O234" s="2"/>
      <c r="P234" s="4">
        <v>1</v>
      </c>
      <c r="Q234" s="2" t="s">
        <v>2317</v>
      </c>
      <c r="R234" s="11">
        <f>SUBTOTAL(3,_xlfn.SINGLE(tbl_file[RowId]))</f>
        <v>1</v>
      </c>
    </row>
    <row r="235" spans="10:18">
      <c r="J235" s="4">
        <v>1352</v>
      </c>
      <c r="K235" s="21" t="str">
        <f>HYPERLINK("obsidian://open?vault=o2&amp;file=2023-01-24.md","2023-01-24")</f>
        <v>2023-01-24</v>
      </c>
      <c r="L235" s="20" t="s">
        <v>175</v>
      </c>
      <c r="M235" s="4"/>
      <c r="N235" s="2" t="s">
        <v>2606</v>
      </c>
      <c r="O235" s="2"/>
      <c r="P235" s="4">
        <v>1</v>
      </c>
      <c r="Q235" s="2" t="s">
        <v>2317</v>
      </c>
      <c r="R235" s="11">
        <f>SUBTOTAL(3,_xlfn.SINGLE(tbl_file[RowId]))</f>
        <v>1</v>
      </c>
    </row>
    <row r="236" spans="10:18">
      <c r="J236" s="4">
        <v>1353</v>
      </c>
      <c r="K236" s="21" t="str">
        <f>HYPERLINK("obsidian://open?vault=o2&amp;file=2023-01-25.md","2023-01-25")</f>
        <v>2023-01-25</v>
      </c>
      <c r="L236" s="20" t="s">
        <v>175</v>
      </c>
      <c r="M236" s="4"/>
      <c r="N236" s="2" t="s">
        <v>2606</v>
      </c>
      <c r="O236" s="2"/>
      <c r="P236" s="4">
        <v>1</v>
      </c>
      <c r="Q236" s="2" t="s">
        <v>2317</v>
      </c>
      <c r="R236" s="11">
        <f>SUBTOTAL(3,_xlfn.SINGLE(tbl_file[RowId]))</f>
        <v>1</v>
      </c>
    </row>
    <row r="237" spans="10:18">
      <c r="J237" s="4">
        <v>1354</v>
      </c>
      <c r="K237" s="21" t="str">
        <f>HYPERLINK("obsidian://open?vault=o2&amp;file=2023-01-27.md","2023-01-27")</f>
        <v>2023-01-27</v>
      </c>
      <c r="L237" s="20" t="s">
        <v>175</v>
      </c>
      <c r="M237" s="4"/>
      <c r="N237" s="2" t="s">
        <v>2606</v>
      </c>
      <c r="O237" s="2"/>
      <c r="P237" s="4">
        <v>1</v>
      </c>
      <c r="Q237" s="2" t="s">
        <v>2317</v>
      </c>
      <c r="R237" s="11">
        <f>SUBTOTAL(3,_xlfn.SINGLE(tbl_file[RowId]))</f>
        <v>1</v>
      </c>
    </row>
    <row r="238" spans="10:18">
      <c r="J238" s="4">
        <v>1355</v>
      </c>
      <c r="K238" s="21" t="str">
        <f>HYPERLINK("obsidian://open?vault=o2&amp;file=2023-01-29.md","2023-01-29")</f>
        <v>2023-01-29</v>
      </c>
      <c r="L238" s="20" t="s">
        <v>175</v>
      </c>
      <c r="M238" s="4"/>
      <c r="N238" s="2" t="s">
        <v>2606</v>
      </c>
      <c r="O238" s="2"/>
      <c r="P238" s="4">
        <v>1</v>
      </c>
      <c r="Q238" s="2" t="s">
        <v>2317</v>
      </c>
      <c r="R238" s="11">
        <f>SUBTOTAL(3,_xlfn.SINGLE(tbl_file[RowId]))</f>
        <v>1</v>
      </c>
    </row>
    <row r="239" spans="10:18">
      <c r="J239" s="4">
        <v>1356</v>
      </c>
      <c r="K239" s="21" t="str">
        <f>HYPERLINK("obsidian://open?vault=o2&amp;file=2023-02-03.md","2023-02-03")</f>
        <v>2023-02-03</v>
      </c>
      <c r="L239" s="20" t="s">
        <v>175</v>
      </c>
      <c r="M239" s="4"/>
      <c r="N239" s="2" t="s">
        <v>2606</v>
      </c>
      <c r="O239" s="2"/>
      <c r="P239" s="4">
        <v>1</v>
      </c>
      <c r="Q239" s="2" t="s">
        <v>2317</v>
      </c>
      <c r="R239" s="11">
        <f>SUBTOTAL(3,_xlfn.SINGLE(tbl_file[RowId]))</f>
        <v>1</v>
      </c>
    </row>
    <row r="240" spans="10:18">
      <c r="J240" s="4">
        <v>1357</v>
      </c>
      <c r="K240" s="21" t="str">
        <f>HYPERLINK("obsidian://open?vault=o2&amp;file=2023-02-04.md","2023-02-04")</f>
        <v>2023-02-04</v>
      </c>
      <c r="L240" s="20" t="s">
        <v>175</v>
      </c>
      <c r="M240" s="4"/>
      <c r="N240" s="2" t="s">
        <v>2606</v>
      </c>
      <c r="O240" s="2"/>
      <c r="P240" s="4">
        <v>1</v>
      </c>
      <c r="Q240" s="2" t="s">
        <v>2317</v>
      </c>
      <c r="R240" s="11">
        <f>SUBTOTAL(3,_xlfn.SINGLE(tbl_file[RowId]))</f>
        <v>1</v>
      </c>
    </row>
    <row r="241" spans="10:18">
      <c r="J241" s="4">
        <v>1358</v>
      </c>
      <c r="K241" s="21" t="str">
        <f>HYPERLINK("obsidian://open?vault=o2&amp;file=2023-02-08.md","2023-02-08")</f>
        <v>2023-02-08</v>
      </c>
      <c r="L241" s="20" t="s">
        <v>175</v>
      </c>
      <c r="M241" s="4"/>
      <c r="N241" s="2" t="s">
        <v>2606</v>
      </c>
      <c r="O241" s="2"/>
      <c r="P241" s="4">
        <v>1</v>
      </c>
      <c r="Q241" s="2" t="s">
        <v>2317</v>
      </c>
      <c r="R241" s="11">
        <f>SUBTOTAL(3,_xlfn.SINGLE(tbl_file[RowId]))</f>
        <v>1</v>
      </c>
    </row>
    <row r="242" spans="10:18">
      <c r="J242" s="4">
        <v>1359</v>
      </c>
      <c r="K242" s="21" t="str">
        <f>HYPERLINK("obsidian://open?vault=o2&amp;file=2023-02-09.md","2023-02-09")</f>
        <v>2023-02-09</v>
      </c>
      <c r="L242" s="20" t="s">
        <v>175</v>
      </c>
      <c r="M242" s="4"/>
      <c r="N242" s="2" t="s">
        <v>2606</v>
      </c>
      <c r="O242" s="2"/>
      <c r="P242" s="4">
        <v>1</v>
      </c>
      <c r="Q242" s="2" t="s">
        <v>2317</v>
      </c>
      <c r="R242" s="11">
        <f>SUBTOTAL(3,_xlfn.SINGLE(tbl_file[RowId]))</f>
        <v>1</v>
      </c>
    </row>
    <row r="243" spans="10:18">
      <c r="J243" s="4">
        <v>1360</v>
      </c>
      <c r="K243" s="21" t="str">
        <f>HYPERLINK("obsidian://open?vault=o2&amp;file=2023-02-10.md","2023-02-10")</f>
        <v>2023-02-10</v>
      </c>
      <c r="L243" s="20" t="s">
        <v>175</v>
      </c>
      <c r="M243" s="4"/>
      <c r="N243" s="2" t="s">
        <v>2606</v>
      </c>
      <c r="O243" s="2"/>
      <c r="P243" s="4">
        <v>1</v>
      </c>
      <c r="Q243" s="2" t="s">
        <v>2317</v>
      </c>
      <c r="R243" s="11">
        <f>SUBTOTAL(3,_xlfn.SINGLE(tbl_file[RowId]))</f>
        <v>1</v>
      </c>
    </row>
    <row r="244" spans="10:18">
      <c r="J244" s="4">
        <v>1361</v>
      </c>
      <c r="K244" s="21" t="str">
        <f>HYPERLINK("obsidian://open?vault=o2&amp;file=2023-02-11.md","2023-02-11")</f>
        <v>2023-02-11</v>
      </c>
      <c r="L244" s="20" t="s">
        <v>175</v>
      </c>
      <c r="M244" s="4"/>
      <c r="N244" s="2" t="s">
        <v>2606</v>
      </c>
      <c r="O244" s="2"/>
      <c r="P244" s="4">
        <v>1</v>
      </c>
      <c r="Q244" s="2" t="s">
        <v>2317</v>
      </c>
      <c r="R244" s="11">
        <f>SUBTOTAL(3,_xlfn.SINGLE(tbl_file[RowId]))</f>
        <v>1</v>
      </c>
    </row>
    <row r="245" spans="10:18">
      <c r="J245" s="4">
        <v>1362</v>
      </c>
      <c r="K245" s="21" t="str">
        <f>HYPERLINK("obsidian://open?vault=o2&amp;file=2023-02-14.md","2023-02-14")</f>
        <v>2023-02-14</v>
      </c>
      <c r="L245" s="20" t="s">
        <v>175</v>
      </c>
      <c r="M245" s="4"/>
      <c r="N245" s="2" t="s">
        <v>2606</v>
      </c>
      <c r="O245" s="2"/>
      <c r="P245" s="4">
        <v>1</v>
      </c>
      <c r="Q245" s="2" t="s">
        <v>2317</v>
      </c>
      <c r="R245" s="11">
        <f>SUBTOTAL(3,_xlfn.SINGLE(tbl_file[RowId]))</f>
        <v>1</v>
      </c>
    </row>
    <row r="246" spans="10:18">
      <c r="J246" s="4">
        <v>1363</v>
      </c>
      <c r="K246" s="21" t="str">
        <f>HYPERLINK("obsidian://open?vault=o2&amp;file=2023-02-16.md","2023-02-16")</f>
        <v>2023-02-16</v>
      </c>
      <c r="L246" s="20" t="s">
        <v>175</v>
      </c>
      <c r="M246" s="4"/>
      <c r="N246" s="2" t="s">
        <v>2606</v>
      </c>
      <c r="O246" s="2"/>
      <c r="P246" s="4">
        <v>1</v>
      </c>
      <c r="Q246" s="2" t="s">
        <v>2317</v>
      </c>
      <c r="R246" s="11">
        <f>SUBTOTAL(3,_xlfn.SINGLE(tbl_file[RowId]))</f>
        <v>1</v>
      </c>
    </row>
    <row r="247" spans="10:18">
      <c r="J247" s="4">
        <v>1364</v>
      </c>
      <c r="K247" s="21" t="str">
        <f>HYPERLINK("obsidian://open?vault=o2&amp;file=2023-02-18.md","2023-02-18")</f>
        <v>2023-02-18</v>
      </c>
      <c r="L247" s="20" t="s">
        <v>175</v>
      </c>
      <c r="M247" s="4"/>
      <c r="N247" s="2" t="s">
        <v>2606</v>
      </c>
      <c r="O247" s="2"/>
      <c r="P247" s="4">
        <v>1</v>
      </c>
      <c r="Q247" s="2" t="s">
        <v>2317</v>
      </c>
      <c r="R247" s="11">
        <f>SUBTOTAL(3,_xlfn.SINGLE(tbl_file[RowId]))</f>
        <v>1</v>
      </c>
    </row>
    <row r="248" spans="10:18">
      <c r="J248" s="4">
        <v>1365</v>
      </c>
      <c r="K248" s="21" t="str">
        <f>HYPERLINK("obsidian://open?vault=o2&amp;file=2023-02-21.md","2023-02-21")</f>
        <v>2023-02-21</v>
      </c>
      <c r="L248" s="20" t="s">
        <v>175</v>
      </c>
      <c r="M248" s="4"/>
      <c r="N248" s="2" t="s">
        <v>2606</v>
      </c>
      <c r="O248" s="2"/>
      <c r="P248" s="4">
        <v>1</v>
      </c>
      <c r="Q248" s="2" t="s">
        <v>2317</v>
      </c>
      <c r="R248" s="11">
        <f>SUBTOTAL(3,_xlfn.SINGLE(tbl_file[RowId]))</f>
        <v>1</v>
      </c>
    </row>
    <row r="249" spans="10:18">
      <c r="J249" s="4">
        <v>1366</v>
      </c>
      <c r="K249" s="21" t="str">
        <f>HYPERLINK("obsidian://open?vault=o2&amp;file=2023-02-23.md","2023-02-23")</f>
        <v>2023-02-23</v>
      </c>
      <c r="L249" s="20" t="s">
        <v>175</v>
      </c>
      <c r="M249" s="4"/>
      <c r="N249" s="2" t="s">
        <v>2606</v>
      </c>
      <c r="O249" s="2"/>
      <c r="P249" s="4">
        <v>1</v>
      </c>
      <c r="Q249" s="2" t="s">
        <v>2317</v>
      </c>
      <c r="R249" s="11">
        <f>SUBTOTAL(3,_xlfn.SINGLE(tbl_file[RowId]))</f>
        <v>1</v>
      </c>
    </row>
    <row r="250" spans="10:18">
      <c r="J250" s="4">
        <v>1367</v>
      </c>
      <c r="K250" s="21" t="str">
        <f>HYPERLINK("obsidian://open?vault=o2&amp;file=2023-02-24.md","2023-02-24")</f>
        <v>2023-02-24</v>
      </c>
      <c r="L250" s="20" t="s">
        <v>175</v>
      </c>
      <c r="M250" s="4"/>
      <c r="N250" s="2" t="s">
        <v>2606</v>
      </c>
      <c r="O250" s="2"/>
      <c r="P250" s="4">
        <v>1</v>
      </c>
      <c r="Q250" s="2" t="s">
        <v>2317</v>
      </c>
      <c r="R250" s="11">
        <f>SUBTOTAL(3,_xlfn.SINGLE(tbl_file[RowId]))</f>
        <v>1</v>
      </c>
    </row>
    <row r="251" spans="10:18">
      <c r="J251" s="4">
        <v>1368</v>
      </c>
      <c r="K251" s="21" t="str">
        <f>HYPERLINK("obsidian://open?vault=o2&amp;file=2023-02-27.md","2023-02-27")</f>
        <v>2023-02-27</v>
      </c>
      <c r="L251" s="20" t="s">
        <v>175</v>
      </c>
      <c r="M251" s="4"/>
      <c r="N251" s="2" t="s">
        <v>2606</v>
      </c>
      <c r="O251" s="2"/>
      <c r="P251" s="4">
        <v>1</v>
      </c>
      <c r="Q251" s="2" t="s">
        <v>2317</v>
      </c>
      <c r="R251" s="11">
        <f>SUBTOTAL(3,_xlfn.SINGLE(tbl_file[RowId]))</f>
        <v>1</v>
      </c>
    </row>
    <row r="252" spans="10:18">
      <c r="J252" s="4">
        <v>1369</v>
      </c>
      <c r="K252" s="21" t="str">
        <f>HYPERLINK("obsidian://open?vault=o2&amp;file=2023-03-07.md","2023-03-07")</f>
        <v>2023-03-07</v>
      </c>
      <c r="L252" s="20" t="s">
        <v>175</v>
      </c>
      <c r="M252" s="4"/>
      <c r="N252" s="2" t="s">
        <v>2606</v>
      </c>
      <c r="O252" s="2"/>
      <c r="P252" s="4">
        <v>1</v>
      </c>
      <c r="Q252" s="2" t="s">
        <v>2317</v>
      </c>
      <c r="R252" s="11">
        <f>SUBTOTAL(3,_xlfn.SINGLE(tbl_file[RowId]))</f>
        <v>1</v>
      </c>
    </row>
    <row r="253" spans="10:18">
      <c r="J253" s="4">
        <v>1370</v>
      </c>
      <c r="K253" s="21" t="str">
        <f>HYPERLINK("obsidian://open?vault=o2&amp;file=2023-03-10.md","2023-03-10")</f>
        <v>2023-03-10</v>
      </c>
      <c r="L253" s="20" t="s">
        <v>175</v>
      </c>
      <c r="M253" s="4"/>
      <c r="N253" s="2" t="s">
        <v>2606</v>
      </c>
      <c r="O253" s="2"/>
      <c r="P253" s="4">
        <v>1</v>
      </c>
      <c r="Q253" s="2" t="s">
        <v>2317</v>
      </c>
      <c r="R253" s="11">
        <f>SUBTOTAL(3,_xlfn.SINGLE(tbl_file[RowId]))</f>
        <v>1</v>
      </c>
    </row>
    <row r="254" spans="10:18">
      <c r="J254" s="4">
        <v>1371</v>
      </c>
      <c r="K254" s="21" t="str">
        <f>HYPERLINK("obsidian://open?vault=o2&amp;file=2023-04-02.md","2023-04-02")</f>
        <v>2023-04-02</v>
      </c>
      <c r="L254" s="20" t="s">
        <v>175</v>
      </c>
      <c r="M254" s="4"/>
      <c r="N254" s="2" t="s">
        <v>2606</v>
      </c>
      <c r="O254" s="2"/>
      <c r="P254" s="4">
        <v>1</v>
      </c>
      <c r="Q254" s="2" t="s">
        <v>2317</v>
      </c>
      <c r="R254" s="11">
        <f>SUBTOTAL(3,_xlfn.SINGLE(tbl_file[RowId]))</f>
        <v>1</v>
      </c>
    </row>
    <row r="255" spans="10:18">
      <c r="J255" s="4">
        <v>1372</v>
      </c>
      <c r="K255" s="21" t="str">
        <f>HYPERLINK("obsidian://open?vault=o2&amp;file=2023-04-28.md","2023-04-28")</f>
        <v>2023-04-28</v>
      </c>
      <c r="L255" s="20" t="s">
        <v>175</v>
      </c>
      <c r="M255" s="4"/>
      <c r="N255" s="2" t="s">
        <v>2606</v>
      </c>
      <c r="O255" s="2"/>
      <c r="P255" s="4">
        <v>1</v>
      </c>
      <c r="Q255" s="2" t="s">
        <v>2317</v>
      </c>
      <c r="R255" s="11">
        <f>SUBTOTAL(3,_xlfn.SINGLE(tbl_file[RowId]))</f>
        <v>1</v>
      </c>
    </row>
    <row r="256" spans="10:18">
      <c r="J256" s="4">
        <v>1373</v>
      </c>
      <c r="K256" s="21" t="str">
        <f>HYPERLINK("obsidian://open?vault=o2&amp;file=2023-07-07.md","2023-07-07")</f>
        <v>2023-07-07</v>
      </c>
      <c r="L256" s="20" t="s">
        <v>175</v>
      </c>
      <c r="M256" s="4"/>
      <c r="N256" s="2" t="s">
        <v>2606</v>
      </c>
      <c r="O256" s="2"/>
      <c r="P256" s="4">
        <v>1</v>
      </c>
      <c r="Q256" s="2" t="s">
        <v>2317</v>
      </c>
      <c r="R256" s="11">
        <f>SUBTOTAL(3,_xlfn.SINGLE(tbl_file[RowId]))</f>
        <v>1</v>
      </c>
    </row>
    <row r="257" spans="10:18">
      <c r="J257" s="4">
        <v>1374</v>
      </c>
      <c r="K257" s="21" t="str">
        <f>HYPERLINK("obsidian://open?vault=o2&amp;file=2023-08-12.md","2023-08-12")</f>
        <v>2023-08-12</v>
      </c>
      <c r="L257" s="20" t="s">
        <v>175</v>
      </c>
      <c r="M257" s="4"/>
      <c r="N257" s="2" t="s">
        <v>2606</v>
      </c>
      <c r="O257" s="2"/>
      <c r="P257" s="4">
        <v>1</v>
      </c>
      <c r="Q257" s="2" t="s">
        <v>2317</v>
      </c>
      <c r="R257" s="11">
        <f>SUBTOTAL(3,_xlfn.SINGLE(tbl_file[RowId]))</f>
        <v>1</v>
      </c>
    </row>
    <row r="258" spans="10:18">
      <c r="J258" s="4">
        <v>1375</v>
      </c>
      <c r="K258" s="21" t="str">
        <f>HYPERLINK("obsidian://open?vault=o2&amp;file=2023-08-13.md","2023-08-13")</f>
        <v>2023-08-13</v>
      </c>
      <c r="L258" s="20" t="s">
        <v>175</v>
      </c>
      <c r="M258" s="4"/>
      <c r="N258" s="2" t="s">
        <v>2606</v>
      </c>
      <c r="O258" s="2"/>
      <c r="P258" s="4">
        <v>3</v>
      </c>
      <c r="Q258" s="2" t="s">
        <v>3024</v>
      </c>
      <c r="R258" s="11">
        <f>SUBTOTAL(3,_xlfn.SINGLE(tbl_file[RowId]))</f>
        <v>1</v>
      </c>
    </row>
    <row r="259" spans="10:18">
      <c r="J259" s="4">
        <v>1376</v>
      </c>
      <c r="K259" s="21" t="str">
        <f>HYPERLINK("obsidian://open?vault=o2&amp;file=2023-08-14.md","2023-08-14")</f>
        <v>2023-08-14</v>
      </c>
      <c r="L259" s="20" t="s">
        <v>175</v>
      </c>
      <c r="M259" s="4"/>
      <c r="N259" s="2" t="s">
        <v>2606</v>
      </c>
      <c r="O259" s="2"/>
      <c r="P259" s="4">
        <v>1</v>
      </c>
      <c r="Q259" s="2" t="s">
        <v>2317</v>
      </c>
      <c r="R259" s="11">
        <f>SUBTOTAL(3,_xlfn.SINGLE(tbl_file[RowId]))</f>
        <v>1</v>
      </c>
    </row>
    <row r="260" spans="10:18">
      <c r="J260" s="4">
        <v>1377</v>
      </c>
      <c r="K260" s="21" t="str">
        <f>HYPERLINK("obsidian://open?vault=o2&amp;file=2023-09-01.md","2023-09-01")</f>
        <v>2023-09-01</v>
      </c>
      <c r="L260" s="20" t="s">
        <v>175</v>
      </c>
      <c r="M260" s="4"/>
      <c r="N260" s="2" t="s">
        <v>2606</v>
      </c>
      <c r="O260" s="2"/>
      <c r="P260" s="4">
        <v>1</v>
      </c>
      <c r="Q260" s="2" t="s">
        <v>2317</v>
      </c>
      <c r="R260" s="11">
        <f>SUBTOTAL(3,_xlfn.SINGLE(tbl_file[RowId]))</f>
        <v>1</v>
      </c>
    </row>
    <row r="261" spans="10:18">
      <c r="J261" s="4">
        <v>1378</v>
      </c>
      <c r="K261" s="21" t="str">
        <f>HYPERLINK("obsidian://open?vault=o2&amp;file=2023-09-01.md","2023-09-01")</f>
        <v>2023-09-01</v>
      </c>
      <c r="L261" s="20" t="s">
        <v>175</v>
      </c>
      <c r="M261" s="4" t="s">
        <v>2626</v>
      </c>
      <c r="N261" s="2" t="s">
        <v>2606</v>
      </c>
      <c r="O261" s="2"/>
      <c r="P261" s="4">
        <v>1</v>
      </c>
      <c r="Q261" s="2" t="s">
        <v>2402</v>
      </c>
      <c r="R261" s="11">
        <f>SUBTOTAL(3,_xlfn.SINGLE(tbl_file[RowId]))</f>
        <v>1</v>
      </c>
    </row>
    <row r="262" spans="10:18">
      <c r="J262" s="4">
        <v>1379</v>
      </c>
      <c r="K262" s="21" t="str">
        <f>HYPERLINK("obsidian://open?vault=o2&amp;file=2023-09-07.md","2023-09-07")</f>
        <v>2023-09-07</v>
      </c>
      <c r="L262" s="20" t="s">
        <v>175</v>
      </c>
      <c r="M262" s="4"/>
      <c r="N262" s="2" t="s">
        <v>2606</v>
      </c>
      <c r="O262" s="2"/>
      <c r="P262" s="4">
        <v>1</v>
      </c>
      <c r="Q262" s="2" t="s">
        <v>2317</v>
      </c>
      <c r="R262" s="11">
        <f>SUBTOTAL(3,_xlfn.SINGLE(tbl_file[RowId]))</f>
        <v>1</v>
      </c>
    </row>
    <row r="263" spans="10:18">
      <c r="J263" s="4">
        <v>1380</v>
      </c>
      <c r="K263" s="21" t="str">
        <f>HYPERLINK("obsidian://open?vault=o2&amp;file=2023-09-11.md","2023-09-11")</f>
        <v>2023-09-11</v>
      </c>
      <c r="L263" s="20" t="s">
        <v>175</v>
      </c>
      <c r="M263" s="4"/>
      <c r="N263" s="2" t="s">
        <v>2606</v>
      </c>
      <c r="O263" s="2"/>
      <c r="P263" s="4">
        <v>1</v>
      </c>
      <c r="Q263" s="2" t="s">
        <v>2317</v>
      </c>
      <c r="R263" s="11">
        <f>SUBTOTAL(3,_xlfn.SINGLE(tbl_file[RowId]))</f>
        <v>1</v>
      </c>
    </row>
    <row r="264" spans="10:18">
      <c r="J264" s="4">
        <v>1381</v>
      </c>
      <c r="K264" s="21" t="str">
        <f>HYPERLINK("obsidian://open?vault=o2&amp;file=2023-09-14.md","2023-09-14")</f>
        <v>2023-09-14</v>
      </c>
      <c r="L264" s="20" t="s">
        <v>175</v>
      </c>
      <c r="M264" s="4"/>
      <c r="N264" s="2" t="s">
        <v>2606</v>
      </c>
      <c r="O264" s="2"/>
      <c r="P264" s="4">
        <v>1</v>
      </c>
      <c r="Q264" s="2" t="s">
        <v>2317</v>
      </c>
      <c r="R264" s="11">
        <f>SUBTOTAL(3,_xlfn.SINGLE(tbl_file[RowId]))</f>
        <v>1</v>
      </c>
    </row>
    <row r="265" spans="10:18">
      <c r="J265" s="4">
        <v>1382</v>
      </c>
      <c r="K265" s="21" t="str">
        <f>HYPERLINK("obsidian://open?vault=o2&amp;file=2023-09-15.md","2023-09-15")</f>
        <v>2023-09-15</v>
      </c>
      <c r="L265" s="20" t="s">
        <v>175</v>
      </c>
      <c r="M265" s="4"/>
      <c r="N265" s="2" t="s">
        <v>2606</v>
      </c>
      <c r="O265" s="2"/>
      <c r="P265" s="4">
        <v>1</v>
      </c>
      <c r="Q265" s="2" t="s">
        <v>2317</v>
      </c>
      <c r="R265" s="11">
        <f>SUBTOTAL(3,_xlfn.SINGLE(tbl_file[RowId]))</f>
        <v>1</v>
      </c>
    </row>
    <row r="266" spans="10:18">
      <c r="J266" s="4">
        <v>1383</v>
      </c>
      <c r="K266" s="21" t="str">
        <f>HYPERLINK("obsidian://open?vault=o2&amp;file=2023-09-16.md","2023-09-16")</f>
        <v>2023-09-16</v>
      </c>
      <c r="L266" s="20" t="s">
        <v>175</v>
      </c>
      <c r="M266" s="4"/>
      <c r="N266" s="2" t="s">
        <v>2606</v>
      </c>
      <c r="O266" s="2"/>
      <c r="P266" s="4">
        <v>1</v>
      </c>
      <c r="Q266" s="2" t="s">
        <v>2317</v>
      </c>
      <c r="R266" s="11">
        <f>SUBTOTAL(3,_xlfn.SINGLE(tbl_file[RowId]))</f>
        <v>1</v>
      </c>
    </row>
    <row r="267" spans="10:18">
      <c r="J267" s="4">
        <v>1384</v>
      </c>
      <c r="K267" s="21" t="str">
        <f>HYPERLINK("obsidian://open?vault=o2&amp;file=2023-09-17.md","2023-09-17")</f>
        <v>2023-09-17</v>
      </c>
      <c r="L267" s="20" t="s">
        <v>175</v>
      </c>
      <c r="M267" s="4"/>
      <c r="N267" s="2" t="s">
        <v>2606</v>
      </c>
      <c r="O267" s="2"/>
      <c r="P267" s="4">
        <v>1</v>
      </c>
      <c r="Q267" s="2" t="s">
        <v>2317</v>
      </c>
      <c r="R267" s="11">
        <f>SUBTOTAL(3,_xlfn.SINGLE(tbl_file[RowId]))</f>
        <v>1</v>
      </c>
    </row>
    <row r="268" spans="10:18">
      <c r="J268" s="4">
        <v>1385</v>
      </c>
      <c r="K268" s="21" t="str">
        <f>HYPERLINK("obsidian://open?vault=o2&amp;file=2023-09-18.md","2023-09-18")</f>
        <v>2023-09-18</v>
      </c>
      <c r="L268" s="20" t="s">
        <v>175</v>
      </c>
      <c r="M268" s="4"/>
      <c r="N268" s="2" t="s">
        <v>2606</v>
      </c>
      <c r="O268" s="2"/>
      <c r="P268" s="4">
        <v>1</v>
      </c>
      <c r="Q268" s="2" t="s">
        <v>2317</v>
      </c>
      <c r="R268" s="11">
        <f>SUBTOTAL(3,_xlfn.SINGLE(tbl_file[RowId]))</f>
        <v>1</v>
      </c>
    </row>
    <row r="269" spans="10:18">
      <c r="J269" s="4">
        <v>1386</v>
      </c>
      <c r="K269" s="21" t="str">
        <f>HYPERLINK("obsidian://open?vault=o2&amp;file=2023-09-18.md","2023-09-18")</f>
        <v>2023-09-18</v>
      </c>
      <c r="L269" s="20" t="s">
        <v>175</v>
      </c>
      <c r="M269" s="4"/>
      <c r="N269" s="2" t="s">
        <v>133</v>
      </c>
      <c r="O269" s="2"/>
      <c r="P269" s="4">
        <v>1</v>
      </c>
      <c r="Q269" s="2" t="s">
        <v>3025</v>
      </c>
      <c r="R269" s="11">
        <f>SUBTOTAL(3,_xlfn.SINGLE(tbl_file[RowId]))</f>
        <v>1</v>
      </c>
    </row>
    <row r="270" spans="10:18">
      <c r="J270" s="4">
        <v>1387</v>
      </c>
      <c r="K270" s="21" t="str">
        <f>HYPERLINK("obsidian://open?vault=o2&amp;file=2023-09-22.md","2023-09-22")</f>
        <v>2023-09-22</v>
      </c>
      <c r="L270" s="20" t="s">
        <v>175</v>
      </c>
      <c r="M270" s="4"/>
      <c r="N270" s="2" t="s">
        <v>2606</v>
      </c>
      <c r="O270" s="2"/>
      <c r="P270" s="4">
        <v>1</v>
      </c>
      <c r="Q270" s="2" t="s">
        <v>2317</v>
      </c>
      <c r="R270" s="11">
        <f>SUBTOTAL(3,_xlfn.SINGLE(tbl_file[RowId]))</f>
        <v>1</v>
      </c>
    </row>
    <row r="271" spans="10:18">
      <c r="J271" s="4">
        <v>1388</v>
      </c>
      <c r="K271" s="21" t="str">
        <f>HYPERLINK("obsidian://open?vault=o2&amp;file=2023-09-22.md","2023-09-22")</f>
        <v>2023-09-22</v>
      </c>
      <c r="L271" s="20" t="s">
        <v>175</v>
      </c>
      <c r="M271" s="4"/>
      <c r="N271" s="14" t="s">
        <v>134</v>
      </c>
      <c r="O271" s="2"/>
      <c r="P271" s="4">
        <v>1</v>
      </c>
      <c r="Q271" s="2" t="s">
        <v>2107</v>
      </c>
      <c r="R271" s="11">
        <f>SUBTOTAL(3,_xlfn.SINGLE(tbl_file[RowId]))</f>
        <v>1</v>
      </c>
    </row>
    <row r="272" spans="10:18">
      <c r="J272" s="4">
        <v>1389</v>
      </c>
      <c r="K272" s="21" t="str">
        <f>HYPERLINK("obsidian://open?vault=o2&amp;file=2023-09-25.md","2023-09-25")</f>
        <v>2023-09-25</v>
      </c>
      <c r="L272" s="20" t="s">
        <v>175</v>
      </c>
      <c r="M272" s="4"/>
      <c r="N272" s="2" t="s">
        <v>2606</v>
      </c>
      <c r="O272" s="2"/>
      <c r="P272" s="4">
        <v>1</v>
      </c>
      <c r="Q272" s="2" t="s">
        <v>2317</v>
      </c>
      <c r="R272" s="11">
        <f>SUBTOTAL(3,_xlfn.SINGLE(tbl_file[RowId]))</f>
        <v>1</v>
      </c>
    </row>
    <row r="273" spans="10:18">
      <c r="J273" s="4">
        <v>1390</v>
      </c>
      <c r="K273" s="21" t="str">
        <f>HYPERLINK("obsidian://open?vault=o2&amp;file=2023-09-25.md","2023-09-25")</f>
        <v>2023-09-25</v>
      </c>
      <c r="L273" s="20" t="s">
        <v>175</v>
      </c>
      <c r="M273" s="4"/>
      <c r="N273" s="14" t="s">
        <v>134</v>
      </c>
      <c r="O273" s="2"/>
      <c r="P273" s="4">
        <v>1</v>
      </c>
      <c r="Q273" s="2" t="s">
        <v>2107</v>
      </c>
      <c r="R273" s="11">
        <f>SUBTOTAL(3,_xlfn.SINGLE(tbl_file[RowId]))</f>
        <v>1</v>
      </c>
    </row>
    <row r="274" spans="10:18">
      <c r="J274" s="4">
        <v>1391</v>
      </c>
      <c r="K274" s="21" t="str">
        <f>HYPERLINK("obsidian://open?vault=o2&amp;file=2023-09-27.md","2023-09-27")</f>
        <v>2023-09-27</v>
      </c>
      <c r="L274" s="20" t="s">
        <v>175</v>
      </c>
      <c r="M274" s="4"/>
      <c r="N274" s="2" t="s">
        <v>2606</v>
      </c>
      <c r="O274" s="2"/>
      <c r="P274" s="4">
        <v>1</v>
      </c>
      <c r="Q274" s="2" t="s">
        <v>2317</v>
      </c>
      <c r="R274" s="11">
        <f>SUBTOTAL(3,_xlfn.SINGLE(tbl_file[RowId]))</f>
        <v>1</v>
      </c>
    </row>
    <row r="275" spans="10:18">
      <c r="J275" s="4">
        <v>1392</v>
      </c>
      <c r="K275" s="21" t="str">
        <f>HYPERLINK("obsidian://open?vault=o2&amp;file=2023-09-27.md","2023-09-27")</f>
        <v>2023-09-27</v>
      </c>
      <c r="L275" s="20" t="s">
        <v>175</v>
      </c>
      <c r="M275" s="4"/>
      <c r="N275" s="14" t="s">
        <v>134</v>
      </c>
      <c r="O275" s="2"/>
      <c r="P275" s="4">
        <v>1</v>
      </c>
      <c r="Q275" s="2" t="s">
        <v>2107</v>
      </c>
      <c r="R275" s="11">
        <f>SUBTOTAL(3,_xlfn.SINGLE(tbl_file[RowId]))</f>
        <v>1</v>
      </c>
    </row>
    <row r="276" spans="10:18">
      <c r="J276" s="4">
        <v>1393</v>
      </c>
      <c r="K276" s="21" t="str">
        <f>HYPERLINK("obsidian://open?vault=o2&amp;file=2023-09-29.md","2023-09-29")</f>
        <v>2023-09-29</v>
      </c>
      <c r="L276" s="20" t="s">
        <v>175</v>
      </c>
      <c r="M276" s="4"/>
      <c r="N276" s="2" t="s">
        <v>2606</v>
      </c>
      <c r="O276" s="2"/>
      <c r="P276" s="4">
        <v>1</v>
      </c>
      <c r="Q276" s="2" t="s">
        <v>2317</v>
      </c>
      <c r="R276" s="11">
        <f>SUBTOTAL(3,_xlfn.SINGLE(tbl_file[RowId]))</f>
        <v>1</v>
      </c>
    </row>
    <row r="277" spans="10:18">
      <c r="J277" s="4">
        <v>1394</v>
      </c>
      <c r="K277" s="21" t="str">
        <f>HYPERLINK("obsidian://open?vault=o2&amp;file=2023-09-29.md","2023-09-29")</f>
        <v>2023-09-29</v>
      </c>
      <c r="L277" s="20" t="s">
        <v>175</v>
      </c>
      <c r="M277" s="4"/>
      <c r="N277" s="14" t="s">
        <v>134</v>
      </c>
      <c r="O277" s="2"/>
      <c r="P277" s="4">
        <v>1</v>
      </c>
      <c r="Q277" s="2" t="s">
        <v>2127</v>
      </c>
      <c r="R277" s="11">
        <f>SUBTOTAL(3,_xlfn.SINGLE(tbl_file[RowId]))</f>
        <v>1</v>
      </c>
    </row>
    <row r="278" spans="10:18">
      <c r="J278" s="4">
        <v>1395</v>
      </c>
      <c r="K278" s="21" t="str">
        <f>HYPERLINK("obsidian://open?vault=o2&amp;file=2023-10-30.md","2023-10-30")</f>
        <v>2023-10-30</v>
      </c>
      <c r="L278" s="20" t="s">
        <v>175</v>
      </c>
      <c r="M278" s="4"/>
      <c r="N278" s="2" t="s">
        <v>2606</v>
      </c>
      <c r="O278" s="2"/>
      <c r="P278" s="4">
        <v>1</v>
      </c>
      <c r="Q278" s="2" t="s">
        <v>2317</v>
      </c>
      <c r="R278" s="11">
        <f>SUBTOTAL(3,_xlfn.SINGLE(tbl_file[RowId]))</f>
        <v>1</v>
      </c>
    </row>
    <row r="279" spans="10:18">
      <c r="J279" s="4">
        <v>1396</v>
      </c>
      <c r="K279" s="21" t="str">
        <f>HYPERLINK("obsidian://open?vault=o2&amp;file=2023-10-30.md","2023-10-30")</f>
        <v>2023-10-30</v>
      </c>
      <c r="L279" s="20" t="s">
        <v>175</v>
      </c>
      <c r="M279" s="4"/>
      <c r="N279" s="14" t="s">
        <v>134</v>
      </c>
      <c r="O279" s="2"/>
      <c r="P279" s="4">
        <v>1</v>
      </c>
      <c r="Q279" s="2" t="s">
        <v>2127</v>
      </c>
      <c r="R279" s="11">
        <f>SUBTOTAL(3,_xlfn.SINGLE(tbl_file[RowId]))</f>
        <v>1</v>
      </c>
    </row>
    <row r="280" spans="10:18">
      <c r="J280" s="4">
        <v>1397</v>
      </c>
      <c r="K280" s="21" t="str">
        <f>HYPERLINK("obsidian://open?vault=o2&amp;file=2023-11-06.md","2023-11-06")</f>
        <v>2023-11-06</v>
      </c>
      <c r="L280" s="20" t="s">
        <v>175</v>
      </c>
      <c r="M280" s="4"/>
      <c r="N280" s="2" t="s">
        <v>2606</v>
      </c>
      <c r="O280" s="2"/>
      <c r="P280" s="4">
        <v>1</v>
      </c>
      <c r="Q280" s="2" t="s">
        <v>2317</v>
      </c>
      <c r="R280" s="11">
        <f>SUBTOTAL(3,_xlfn.SINGLE(tbl_file[RowId]))</f>
        <v>1</v>
      </c>
    </row>
    <row r="281" spans="10:18">
      <c r="J281" s="4">
        <v>1398</v>
      </c>
      <c r="K281" s="21" t="str">
        <f>HYPERLINK("obsidian://open?vault=o2&amp;file=2023-11-06.md","2023-11-06")</f>
        <v>2023-11-06</v>
      </c>
      <c r="L281" s="20" t="s">
        <v>175</v>
      </c>
      <c r="M281" s="4"/>
      <c r="N281" s="14" t="s">
        <v>134</v>
      </c>
      <c r="O281" s="2"/>
      <c r="P281" s="4">
        <v>1</v>
      </c>
      <c r="Q281" s="2" t="s">
        <v>2127</v>
      </c>
      <c r="R281" s="11">
        <f>SUBTOTAL(3,_xlfn.SINGLE(tbl_file[RowId]))</f>
        <v>1</v>
      </c>
    </row>
    <row r="282" spans="10:18">
      <c r="J282" s="4">
        <v>1399</v>
      </c>
      <c r="K282" s="21" t="str">
        <f>HYPERLINK("obsidian://open?vault=o2&amp;file=2023-11-17.md","2023-11-17")</f>
        <v>2023-11-17</v>
      </c>
      <c r="L282" s="20" t="s">
        <v>175</v>
      </c>
      <c r="M282" s="4"/>
      <c r="N282" s="2" t="s">
        <v>2606</v>
      </c>
      <c r="O282" s="2"/>
      <c r="P282" s="4">
        <v>1</v>
      </c>
      <c r="Q282" s="2" t="s">
        <v>2317</v>
      </c>
      <c r="R282" s="11">
        <f>SUBTOTAL(3,_xlfn.SINGLE(tbl_file[RowId]))</f>
        <v>1</v>
      </c>
    </row>
    <row r="283" spans="10:18">
      <c r="J283" s="4">
        <v>1400</v>
      </c>
      <c r="K283" s="21" t="str">
        <f>HYPERLINK("obsidian://open?vault=o2&amp;file=2023-11-17.md","2023-11-17")</f>
        <v>2023-11-17</v>
      </c>
      <c r="L283" s="20" t="s">
        <v>175</v>
      </c>
      <c r="M283" s="4"/>
      <c r="N283" s="14" t="s">
        <v>134</v>
      </c>
      <c r="O283" s="2"/>
      <c r="P283" s="4">
        <v>1</v>
      </c>
      <c r="Q283" s="2" t="s">
        <v>2127</v>
      </c>
      <c r="R283" s="11">
        <f>SUBTOTAL(3,_xlfn.SINGLE(tbl_file[RowId]))</f>
        <v>1</v>
      </c>
    </row>
    <row r="284" spans="10:18">
      <c r="J284" s="4">
        <v>1401</v>
      </c>
      <c r="K284" s="21" t="str">
        <f>HYPERLINK("obsidian://open?vault=o2&amp;file=2023-11-29.md","2023-11-29")</f>
        <v>2023-11-29</v>
      </c>
      <c r="L284" s="20" t="s">
        <v>175</v>
      </c>
      <c r="M284" s="4"/>
      <c r="N284" s="2" t="s">
        <v>2606</v>
      </c>
      <c r="O284" s="2"/>
      <c r="P284" s="4">
        <v>1</v>
      </c>
      <c r="Q284" s="2" t="s">
        <v>2317</v>
      </c>
      <c r="R284" s="11">
        <f>SUBTOTAL(3,_xlfn.SINGLE(tbl_file[RowId]))</f>
        <v>1</v>
      </c>
    </row>
    <row r="285" spans="10:18">
      <c r="J285" s="4">
        <v>1402</v>
      </c>
      <c r="K285" s="21" t="str">
        <f>HYPERLINK("obsidian://open?vault=o2&amp;file=2023-11-29.md","2023-11-29")</f>
        <v>2023-11-29</v>
      </c>
      <c r="L285" s="20" t="s">
        <v>175</v>
      </c>
      <c r="M285" s="4"/>
      <c r="N285" s="2" t="s">
        <v>133</v>
      </c>
      <c r="O285" s="2"/>
      <c r="P285" s="4">
        <v>1</v>
      </c>
      <c r="Q285" s="2" t="s">
        <v>2127</v>
      </c>
      <c r="R285" s="11">
        <f>SUBTOTAL(3,_xlfn.SINGLE(tbl_file[RowId]))</f>
        <v>1</v>
      </c>
    </row>
    <row r="286" spans="10:18">
      <c r="J286" s="4">
        <v>1403</v>
      </c>
      <c r="K286" s="21" t="str">
        <f>HYPERLINK("obsidian://open?vault=o2&amp;file=2023-11-30.md","2023-11-30")</f>
        <v>2023-11-30</v>
      </c>
      <c r="L286" s="20" t="s">
        <v>175</v>
      </c>
      <c r="M286" s="4"/>
      <c r="N286" s="2" t="s">
        <v>2606</v>
      </c>
      <c r="O286" s="2"/>
      <c r="P286" s="4">
        <v>1</v>
      </c>
      <c r="Q286" s="2" t="s">
        <v>2317</v>
      </c>
      <c r="R286" s="11">
        <f>SUBTOTAL(3,_xlfn.SINGLE(tbl_file[RowId]))</f>
        <v>1</v>
      </c>
    </row>
    <row r="287" spans="10:18">
      <c r="J287" s="4">
        <v>1404</v>
      </c>
      <c r="K287" s="21" t="str">
        <f>HYPERLINK("obsidian://open?vault=o2&amp;file=2023-11-30.md","2023-11-30")</f>
        <v>2023-11-30</v>
      </c>
      <c r="L287" s="20" t="s">
        <v>175</v>
      </c>
      <c r="M287" s="4"/>
      <c r="N287" s="2" t="s">
        <v>133</v>
      </c>
      <c r="O287" s="2"/>
      <c r="P287" s="4">
        <v>1</v>
      </c>
      <c r="Q287" s="2" t="s">
        <v>2129</v>
      </c>
      <c r="R287" s="11">
        <f>SUBTOTAL(3,_xlfn.SINGLE(tbl_file[RowId]))</f>
        <v>1</v>
      </c>
    </row>
    <row r="288" spans="10:18">
      <c r="J288" s="4">
        <v>1405</v>
      </c>
      <c r="K288" s="21" t="str">
        <f>HYPERLINK("obsidian://open?vault=o2&amp;file=2023-12-01.md","2023-12-01")</f>
        <v>2023-12-01</v>
      </c>
      <c r="L288" s="20" t="s">
        <v>175</v>
      </c>
      <c r="M288" s="4"/>
      <c r="N288" s="2" t="s">
        <v>2606</v>
      </c>
      <c r="O288" s="2"/>
      <c r="P288" s="4">
        <v>1</v>
      </c>
      <c r="Q288" s="2" t="s">
        <v>2317</v>
      </c>
      <c r="R288" s="11">
        <f>SUBTOTAL(3,_xlfn.SINGLE(tbl_file[RowId]))</f>
        <v>1</v>
      </c>
    </row>
    <row r="289" spans="10:18">
      <c r="J289" s="4">
        <v>1406</v>
      </c>
      <c r="K289" s="21" t="str">
        <f>HYPERLINK("obsidian://open?vault=o2&amp;file=2023-12-01.md","2023-12-01")</f>
        <v>2023-12-01</v>
      </c>
      <c r="L289" s="20" t="s">
        <v>175</v>
      </c>
      <c r="M289" s="4"/>
      <c r="N289" s="2" t="s">
        <v>133</v>
      </c>
      <c r="O289" s="2"/>
      <c r="P289" s="4">
        <v>1</v>
      </c>
      <c r="Q289" s="2" t="s">
        <v>2129</v>
      </c>
      <c r="R289" s="11">
        <f>SUBTOTAL(3,_xlfn.SINGLE(tbl_file[RowId]))</f>
        <v>1</v>
      </c>
    </row>
    <row r="290" spans="10:18">
      <c r="J290" s="4">
        <v>1407</v>
      </c>
      <c r="K290" s="21" t="str">
        <f>HYPERLINK("obsidian://open?vault=o2&amp;file=2023-12-02.md","2023-12-02")</f>
        <v>2023-12-02</v>
      </c>
      <c r="L290" s="20" t="s">
        <v>175</v>
      </c>
      <c r="M290" s="4"/>
      <c r="N290" s="2" t="s">
        <v>2606</v>
      </c>
      <c r="O290" s="2"/>
      <c r="P290" s="4">
        <v>1</v>
      </c>
      <c r="Q290" s="2" t="s">
        <v>2317</v>
      </c>
      <c r="R290" s="11">
        <f>SUBTOTAL(3,_xlfn.SINGLE(tbl_file[RowId]))</f>
        <v>1</v>
      </c>
    </row>
    <row r="291" spans="10:18">
      <c r="J291" s="4">
        <v>1408</v>
      </c>
      <c r="K291" s="21" t="str">
        <f>HYPERLINK("obsidian://open?vault=o2&amp;file=2023-12-02.md","2023-12-02")</f>
        <v>2023-12-02</v>
      </c>
      <c r="L291" s="20" t="s">
        <v>175</v>
      </c>
      <c r="M291" s="4"/>
      <c r="N291" s="2" t="s">
        <v>133</v>
      </c>
      <c r="O291" s="2"/>
      <c r="P291" s="4">
        <v>1</v>
      </c>
      <c r="Q291" s="2" t="s">
        <v>2129</v>
      </c>
      <c r="R291" s="11">
        <f>SUBTOTAL(3,_xlfn.SINGLE(tbl_file[RowId]))</f>
        <v>1</v>
      </c>
    </row>
    <row r="292" spans="10:18">
      <c r="J292" s="4">
        <v>1409</v>
      </c>
      <c r="K292" s="21" t="str">
        <f>HYPERLINK("obsidian://open?vault=o2&amp;file=2023-12-03.md","2023-12-03")</f>
        <v>2023-12-03</v>
      </c>
      <c r="L292" s="20" t="s">
        <v>175</v>
      </c>
      <c r="M292" s="4"/>
      <c r="N292" s="2" t="s">
        <v>2606</v>
      </c>
      <c r="O292" s="2"/>
      <c r="P292" s="4">
        <v>1</v>
      </c>
      <c r="Q292" s="2" t="s">
        <v>2317</v>
      </c>
      <c r="R292" s="11">
        <f>SUBTOTAL(3,_xlfn.SINGLE(tbl_file[RowId]))</f>
        <v>1</v>
      </c>
    </row>
    <row r="293" spans="10:18">
      <c r="J293" s="4">
        <v>1410</v>
      </c>
      <c r="K293" s="21" t="str">
        <f>HYPERLINK("obsidian://open?vault=o2&amp;file=2023-12-03.md","2023-12-03")</f>
        <v>2023-12-03</v>
      </c>
      <c r="L293" s="20" t="s">
        <v>175</v>
      </c>
      <c r="M293" s="4"/>
      <c r="N293" s="2" t="s">
        <v>133</v>
      </c>
      <c r="O293" s="2"/>
      <c r="P293" s="4">
        <v>1</v>
      </c>
      <c r="Q293" s="2" t="s">
        <v>2129</v>
      </c>
      <c r="R293" s="11">
        <f>SUBTOTAL(3,_xlfn.SINGLE(tbl_file[RowId]))</f>
        <v>1</v>
      </c>
    </row>
    <row r="294" spans="10:18">
      <c r="J294" s="4">
        <v>1411</v>
      </c>
      <c r="K294" s="21" t="str">
        <f>HYPERLINK("obsidian://open?vault=o2&amp;file=2023-12-04.md","2023-12-04")</f>
        <v>2023-12-04</v>
      </c>
      <c r="L294" s="20" t="s">
        <v>175</v>
      </c>
      <c r="M294" s="4"/>
      <c r="N294" s="2" t="s">
        <v>2606</v>
      </c>
      <c r="O294" s="2"/>
      <c r="P294" s="4">
        <v>1</v>
      </c>
      <c r="Q294" s="2" t="s">
        <v>2317</v>
      </c>
      <c r="R294" s="11">
        <f>SUBTOTAL(3,_xlfn.SINGLE(tbl_file[RowId]))</f>
        <v>1</v>
      </c>
    </row>
    <row r="295" spans="10:18">
      <c r="J295" s="4">
        <v>1412</v>
      </c>
      <c r="K295" s="21" t="str">
        <f>HYPERLINK("obsidian://open?vault=o2&amp;file=2023-12-04.md","2023-12-04")</f>
        <v>2023-12-04</v>
      </c>
      <c r="L295" s="20" t="s">
        <v>175</v>
      </c>
      <c r="M295" s="4"/>
      <c r="N295" s="2" t="s">
        <v>133</v>
      </c>
      <c r="O295" s="2"/>
      <c r="P295" s="4">
        <v>1</v>
      </c>
      <c r="Q295" s="2" t="s">
        <v>2129</v>
      </c>
      <c r="R295" s="11">
        <f>SUBTOTAL(3,_xlfn.SINGLE(tbl_file[RowId]))</f>
        <v>1</v>
      </c>
    </row>
    <row r="296" spans="10:18">
      <c r="J296" s="4">
        <v>1413</v>
      </c>
      <c r="K296" s="21" t="str">
        <f>HYPERLINK("obsidian://open?vault=o2&amp;file=2023-12-05.md","2023-12-05")</f>
        <v>2023-12-05</v>
      </c>
      <c r="L296" s="20" t="s">
        <v>175</v>
      </c>
      <c r="M296" s="4"/>
      <c r="N296" s="2" t="s">
        <v>2606</v>
      </c>
      <c r="O296" s="2"/>
      <c r="P296" s="4">
        <v>1</v>
      </c>
      <c r="Q296" s="2" t="s">
        <v>2317</v>
      </c>
      <c r="R296" s="11">
        <f>SUBTOTAL(3,_xlfn.SINGLE(tbl_file[RowId]))</f>
        <v>1</v>
      </c>
    </row>
    <row r="297" spans="10:18">
      <c r="J297" s="4">
        <v>1414</v>
      </c>
      <c r="K297" s="21" t="str">
        <f>HYPERLINK("obsidian://open?vault=o2&amp;file=2023-12-05.md","2023-12-05")</f>
        <v>2023-12-05</v>
      </c>
      <c r="L297" s="20" t="s">
        <v>175</v>
      </c>
      <c r="M297" s="4"/>
      <c r="N297" s="2" t="s">
        <v>133</v>
      </c>
      <c r="O297" s="2"/>
      <c r="P297" s="4">
        <v>1</v>
      </c>
      <c r="Q297" s="2" t="s">
        <v>2129</v>
      </c>
      <c r="R297" s="11">
        <f>SUBTOTAL(3,_xlfn.SINGLE(tbl_file[RowId]))</f>
        <v>1</v>
      </c>
    </row>
    <row r="298" spans="10:18">
      <c r="J298" s="4">
        <v>1415</v>
      </c>
      <c r="K298" s="21" t="str">
        <f>HYPERLINK("obsidian://open?vault=o2&amp;file=2023-12-06.md","2023-12-06")</f>
        <v>2023-12-06</v>
      </c>
      <c r="L298" s="20" t="s">
        <v>175</v>
      </c>
      <c r="M298" s="4"/>
      <c r="N298" s="2" t="s">
        <v>2606</v>
      </c>
      <c r="O298" s="2"/>
      <c r="P298" s="4">
        <v>1</v>
      </c>
      <c r="Q298" s="2" t="s">
        <v>2317</v>
      </c>
      <c r="R298" s="11">
        <f>SUBTOTAL(3,_xlfn.SINGLE(tbl_file[RowId]))</f>
        <v>1</v>
      </c>
    </row>
    <row r="299" spans="10:18">
      <c r="J299" s="4">
        <v>1416</v>
      </c>
      <c r="K299" s="21" t="str">
        <f>HYPERLINK("obsidian://open?vault=o2&amp;file=2023-12-06.md","2023-12-06")</f>
        <v>2023-12-06</v>
      </c>
      <c r="L299" s="20" t="s">
        <v>175</v>
      </c>
      <c r="M299" s="4"/>
      <c r="N299" s="2" t="s">
        <v>133</v>
      </c>
      <c r="O299" s="2"/>
      <c r="P299" s="4">
        <v>1</v>
      </c>
      <c r="Q299" s="2" t="s">
        <v>2129</v>
      </c>
      <c r="R299" s="11">
        <f>SUBTOTAL(3,_xlfn.SINGLE(tbl_file[RowId]))</f>
        <v>1</v>
      </c>
    </row>
    <row r="300" spans="10:18">
      <c r="J300" s="4">
        <v>1417</v>
      </c>
      <c r="K300" s="21" t="str">
        <f>HYPERLINK("obsidian://open?vault=o2&amp;file=2023-12-07.md","2023-12-07")</f>
        <v>2023-12-07</v>
      </c>
      <c r="L300" s="20" t="s">
        <v>175</v>
      </c>
      <c r="M300" s="4"/>
      <c r="N300" s="2" t="s">
        <v>2606</v>
      </c>
      <c r="O300" s="2"/>
      <c r="P300" s="4">
        <v>1</v>
      </c>
      <c r="Q300" s="2" t="s">
        <v>2317</v>
      </c>
      <c r="R300" s="11">
        <f>SUBTOTAL(3,_xlfn.SINGLE(tbl_file[RowId]))</f>
        <v>1</v>
      </c>
    </row>
    <row r="301" spans="10:18">
      <c r="J301" s="4">
        <v>1418</v>
      </c>
      <c r="K301" s="21" t="str">
        <f>HYPERLINK("obsidian://open?vault=o2&amp;file=2023-12-07.md","2023-12-07")</f>
        <v>2023-12-07</v>
      </c>
      <c r="L301" s="20" t="s">
        <v>175</v>
      </c>
      <c r="M301" s="4"/>
      <c r="N301" s="2" t="s">
        <v>133</v>
      </c>
      <c r="O301" s="2"/>
      <c r="P301" s="4">
        <v>1</v>
      </c>
      <c r="Q301" s="2" t="s">
        <v>2129</v>
      </c>
      <c r="R301" s="11">
        <f>SUBTOTAL(3,_xlfn.SINGLE(tbl_file[RowId]))</f>
        <v>1</v>
      </c>
    </row>
    <row r="302" spans="10:18">
      <c r="J302" s="4">
        <v>1419</v>
      </c>
      <c r="K302" s="21" t="str">
        <f>HYPERLINK("obsidian://open?vault=o2&amp;file=2023-12-09.md","2023-12-09")</f>
        <v>2023-12-09</v>
      </c>
      <c r="L302" s="20" t="s">
        <v>175</v>
      </c>
      <c r="M302" s="4"/>
      <c r="N302" s="2" t="s">
        <v>2606</v>
      </c>
      <c r="O302" s="2"/>
      <c r="P302" s="4">
        <v>1</v>
      </c>
      <c r="Q302" s="2" t="s">
        <v>2317</v>
      </c>
      <c r="R302" s="11">
        <f>SUBTOTAL(3,_xlfn.SINGLE(tbl_file[RowId]))</f>
        <v>1</v>
      </c>
    </row>
    <row r="303" spans="10:18">
      <c r="J303" s="4">
        <v>1420</v>
      </c>
      <c r="K303" s="21" t="str">
        <f>HYPERLINK("obsidian://open?vault=o2&amp;file=2023-12-09.md","2023-12-09")</f>
        <v>2023-12-09</v>
      </c>
      <c r="L303" s="20" t="s">
        <v>175</v>
      </c>
      <c r="M303" s="4"/>
      <c r="N303" s="2" t="s">
        <v>133</v>
      </c>
      <c r="O303" s="2"/>
      <c r="P303" s="4">
        <v>1</v>
      </c>
      <c r="Q303" s="2" t="s">
        <v>2129</v>
      </c>
      <c r="R303" s="11">
        <f>SUBTOTAL(3,_xlfn.SINGLE(tbl_file[RowId]))</f>
        <v>1</v>
      </c>
    </row>
    <row r="304" spans="10:18">
      <c r="J304" s="4">
        <v>1421</v>
      </c>
      <c r="K304" s="21" t="str">
        <f>HYPERLINK("obsidian://open?vault=o2&amp;file=2023-12-11.md","2023-12-11")</f>
        <v>2023-12-11</v>
      </c>
      <c r="L304" s="20" t="s">
        <v>175</v>
      </c>
      <c r="M304" s="4"/>
      <c r="N304" s="2" t="s">
        <v>2606</v>
      </c>
      <c r="O304" s="2"/>
      <c r="P304" s="4">
        <v>1</v>
      </c>
      <c r="Q304" s="2" t="s">
        <v>2317</v>
      </c>
      <c r="R304" s="11">
        <f>SUBTOTAL(3,_xlfn.SINGLE(tbl_file[RowId]))</f>
        <v>1</v>
      </c>
    </row>
    <row r="305" spans="10:18">
      <c r="J305" s="4">
        <v>1422</v>
      </c>
      <c r="K305" s="21" t="str">
        <f>HYPERLINK("obsidian://open?vault=o2&amp;file=2023-12-11.md","2023-12-11")</f>
        <v>2023-12-11</v>
      </c>
      <c r="L305" s="20" t="s">
        <v>175</v>
      </c>
      <c r="M305" s="4"/>
      <c r="N305" s="2" t="s">
        <v>133</v>
      </c>
      <c r="O305" s="2"/>
      <c r="P305" s="4">
        <v>1</v>
      </c>
      <c r="Q305" s="2" t="s">
        <v>2129</v>
      </c>
      <c r="R305" s="11">
        <f>SUBTOTAL(3,_xlfn.SINGLE(tbl_file[RowId]))</f>
        <v>1</v>
      </c>
    </row>
    <row r="306" spans="10:18">
      <c r="J306" s="4">
        <v>1423</v>
      </c>
      <c r="K306" s="21" t="str">
        <f>HYPERLINK("obsidian://open?vault=o2&amp;file=2023-12-19.md","2023-12-19")</f>
        <v>2023-12-19</v>
      </c>
      <c r="L306" s="20" t="s">
        <v>175</v>
      </c>
      <c r="M306" s="4"/>
      <c r="N306" s="2" t="s">
        <v>2606</v>
      </c>
      <c r="O306" s="2"/>
      <c r="P306" s="4">
        <v>1</v>
      </c>
      <c r="Q306" s="2" t="s">
        <v>2317</v>
      </c>
      <c r="R306" s="11">
        <f>SUBTOTAL(3,_xlfn.SINGLE(tbl_file[RowId]))</f>
        <v>1</v>
      </c>
    </row>
    <row r="307" spans="10:18">
      <c r="J307" s="4">
        <v>1424</v>
      </c>
      <c r="K307" s="21" t="str">
        <f>HYPERLINK("obsidian://open?vault=o2&amp;file=2023-12-19.md","2023-12-19")</f>
        <v>2023-12-19</v>
      </c>
      <c r="L307" s="20" t="s">
        <v>175</v>
      </c>
      <c r="M307" s="4"/>
      <c r="N307" s="2" t="s">
        <v>133</v>
      </c>
      <c r="O307" s="2"/>
      <c r="P307" s="4">
        <v>1</v>
      </c>
      <c r="Q307" s="2" t="s">
        <v>2129</v>
      </c>
      <c r="R307" s="11">
        <f>SUBTOTAL(3,_xlfn.SINGLE(tbl_file[RowId]))</f>
        <v>1</v>
      </c>
    </row>
    <row r="308" spans="10:18">
      <c r="J308" s="4">
        <v>1425</v>
      </c>
      <c r="K308" s="21" t="str">
        <f>HYPERLINK("obsidian://open?vault=o2&amp;file=2023-12-20.md","2023-12-20")</f>
        <v>2023-12-20</v>
      </c>
      <c r="L308" s="20" t="s">
        <v>175</v>
      </c>
      <c r="M308" s="4"/>
      <c r="N308" s="2" t="s">
        <v>2606</v>
      </c>
      <c r="O308" s="2"/>
      <c r="P308" s="4">
        <v>1</v>
      </c>
      <c r="Q308" s="2" t="s">
        <v>2317</v>
      </c>
      <c r="R308" s="11">
        <f>SUBTOTAL(3,_xlfn.SINGLE(tbl_file[RowId]))</f>
        <v>1</v>
      </c>
    </row>
    <row r="309" spans="10:18">
      <c r="J309" s="4">
        <v>1426</v>
      </c>
      <c r="K309" s="21" t="str">
        <f>HYPERLINK("obsidian://open?vault=o2&amp;file=2023-12-20.md","2023-12-20")</f>
        <v>2023-12-20</v>
      </c>
      <c r="L309" s="20" t="s">
        <v>175</v>
      </c>
      <c r="M309" s="4"/>
      <c r="N309" s="2" t="s">
        <v>133</v>
      </c>
      <c r="O309" s="2"/>
      <c r="P309" s="4">
        <v>1</v>
      </c>
      <c r="Q309" s="2" t="s">
        <v>2129</v>
      </c>
      <c r="R309" s="11">
        <f>SUBTOTAL(3,_xlfn.SINGLE(tbl_file[RowId]))</f>
        <v>1</v>
      </c>
    </row>
    <row r="310" spans="10:18">
      <c r="J310" s="4">
        <v>1427</v>
      </c>
      <c r="K310" s="21" t="str">
        <f>HYPERLINK("obsidian://open?vault=o2&amp;file=2023-12-21.md","2023-12-21")</f>
        <v>2023-12-21</v>
      </c>
      <c r="L310" s="20" t="s">
        <v>175</v>
      </c>
      <c r="M310" s="4"/>
      <c r="N310" s="2" t="s">
        <v>2606</v>
      </c>
      <c r="O310" s="2"/>
      <c r="P310" s="4">
        <v>1</v>
      </c>
      <c r="Q310" s="2" t="s">
        <v>2317</v>
      </c>
      <c r="R310" s="11">
        <f>SUBTOTAL(3,_xlfn.SINGLE(tbl_file[RowId]))</f>
        <v>1</v>
      </c>
    </row>
    <row r="311" spans="10:18">
      <c r="J311" s="4">
        <v>1428</v>
      </c>
      <c r="K311" s="21" t="str">
        <f>HYPERLINK("obsidian://open?vault=o2&amp;file=2023-12-21.md","2023-12-21")</f>
        <v>2023-12-21</v>
      </c>
      <c r="L311" s="20" t="s">
        <v>175</v>
      </c>
      <c r="M311" s="4"/>
      <c r="N311" s="2" t="s">
        <v>133</v>
      </c>
      <c r="O311" s="2"/>
      <c r="P311" s="4">
        <v>1</v>
      </c>
      <c r="Q311" s="2" t="s">
        <v>2129</v>
      </c>
      <c r="R311" s="11">
        <f>SUBTOTAL(3,_xlfn.SINGLE(tbl_file[RowId]))</f>
        <v>1</v>
      </c>
    </row>
    <row r="312" spans="10:18">
      <c r="J312" s="4">
        <v>1886</v>
      </c>
      <c r="K312" s="21" t="str">
        <f>HYPERLINK("obsidian://open?vault=o2&amp;file=2024.md","2024")</f>
        <v>2024</v>
      </c>
      <c r="L312" s="20" t="s">
        <v>175</v>
      </c>
      <c r="M312" s="4"/>
      <c r="N312" s="2" t="s">
        <v>50</v>
      </c>
      <c r="O312" s="2"/>
      <c r="P312" s="4">
        <v>1</v>
      </c>
      <c r="Q312" s="2" t="s">
        <v>1710</v>
      </c>
      <c r="R312" s="11">
        <f>SUBTOTAL(3,_xlfn.SINGLE(tbl_file[RowId]))</f>
        <v>1</v>
      </c>
    </row>
    <row r="313" spans="10:18">
      <c r="J313" s="4">
        <v>1887</v>
      </c>
      <c r="K313" s="21" t="str">
        <f>HYPERLINK("obsidian://open?vault=o2&amp;file=2024.md","2024")</f>
        <v>2024</v>
      </c>
      <c r="L313" s="20" t="s">
        <v>175</v>
      </c>
      <c r="M313" s="4"/>
      <c r="N313" s="2" t="s">
        <v>2606</v>
      </c>
      <c r="O313" s="2"/>
      <c r="P313" s="4">
        <v>1</v>
      </c>
      <c r="Q313" s="2" t="s">
        <v>2469</v>
      </c>
      <c r="R313" s="11">
        <f>SUBTOTAL(3,_xlfn.SINGLE(tbl_file[RowId]))</f>
        <v>1</v>
      </c>
    </row>
    <row r="314" spans="10:18">
      <c r="J314" s="4">
        <v>1429</v>
      </c>
      <c r="K314" s="21" t="str">
        <f>HYPERLINK("obsidian://open?vault=o2&amp;file=2024-01-10.md","2024-01-10")</f>
        <v>2024-01-10</v>
      </c>
      <c r="L314" s="20" t="s">
        <v>175</v>
      </c>
      <c r="M314" s="4"/>
      <c r="N314" s="2" t="s">
        <v>2606</v>
      </c>
      <c r="O314" s="2"/>
      <c r="P314" s="4">
        <v>1</v>
      </c>
      <c r="Q314" s="2" t="s">
        <v>2317</v>
      </c>
      <c r="R314" s="11">
        <f>SUBTOTAL(3,_xlfn.SINGLE(tbl_file[RowId]))</f>
        <v>1</v>
      </c>
    </row>
    <row r="315" spans="10:18">
      <c r="J315" s="4">
        <v>1430</v>
      </c>
      <c r="K315" s="21" t="str">
        <f>HYPERLINK("obsidian://open?vault=o2&amp;file=2024-01-10.md","2024-01-10")</f>
        <v>2024-01-10</v>
      </c>
      <c r="L315" s="20" t="s">
        <v>175</v>
      </c>
      <c r="M315" s="4"/>
      <c r="N315" s="2" t="s">
        <v>133</v>
      </c>
      <c r="O315" s="2"/>
      <c r="P315" s="4">
        <v>1</v>
      </c>
      <c r="Q315" s="2" t="s">
        <v>2129</v>
      </c>
      <c r="R315" s="11">
        <f>SUBTOTAL(3,_xlfn.SINGLE(tbl_file[RowId]))</f>
        <v>1</v>
      </c>
    </row>
    <row r="316" spans="10:18">
      <c r="J316" s="4">
        <v>1431</v>
      </c>
      <c r="K316" s="21" t="str">
        <f>HYPERLINK("obsidian://open?vault=o2&amp;file=2024-01-13.md","2024-01-13")</f>
        <v>2024-01-13</v>
      </c>
      <c r="L316" s="20" t="s">
        <v>175</v>
      </c>
      <c r="M316" s="4"/>
      <c r="N316" s="2" t="s">
        <v>2606</v>
      </c>
      <c r="O316" s="2"/>
      <c r="P316" s="4">
        <v>1</v>
      </c>
      <c r="Q316" s="2" t="s">
        <v>2317</v>
      </c>
      <c r="R316" s="11">
        <f>SUBTOTAL(3,_xlfn.SINGLE(tbl_file[RowId]))</f>
        <v>1</v>
      </c>
    </row>
    <row r="317" spans="10:18">
      <c r="J317" s="4">
        <v>1432</v>
      </c>
      <c r="K317" s="21" t="str">
        <f>HYPERLINK("obsidian://open?vault=o2&amp;file=2024-01-13.md","2024-01-13")</f>
        <v>2024-01-13</v>
      </c>
      <c r="L317" s="20" t="s">
        <v>175</v>
      </c>
      <c r="M317" s="4"/>
      <c r="N317" s="2" t="s">
        <v>133</v>
      </c>
      <c r="O317" s="2"/>
      <c r="P317" s="4">
        <v>1</v>
      </c>
      <c r="Q317" s="2" t="s">
        <v>2129</v>
      </c>
      <c r="R317" s="11">
        <f>SUBTOTAL(3,_xlfn.SINGLE(tbl_file[RowId]))</f>
        <v>1</v>
      </c>
    </row>
    <row r="318" spans="10:18">
      <c r="J318" s="4">
        <v>1433</v>
      </c>
      <c r="K318" s="21" t="str">
        <f>HYPERLINK("obsidian://open?vault=o2&amp;file=2024-01-14.md","2024-01-14")</f>
        <v>2024-01-14</v>
      </c>
      <c r="L318" s="20" t="s">
        <v>175</v>
      </c>
      <c r="M318" s="4"/>
      <c r="N318" s="2" t="s">
        <v>2606</v>
      </c>
      <c r="O318" s="2"/>
      <c r="P318" s="4">
        <v>1</v>
      </c>
      <c r="Q318" s="2" t="s">
        <v>2317</v>
      </c>
      <c r="R318" s="11">
        <f>SUBTOTAL(3,_xlfn.SINGLE(tbl_file[RowId]))</f>
        <v>1</v>
      </c>
    </row>
    <row r="319" spans="10:18">
      <c r="J319" s="4">
        <v>1434</v>
      </c>
      <c r="K319" s="21" t="str">
        <f>HYPERLINK("obsidian://open?vault=o2&amp;file=2024-01-14.md","2024-01-14")</f>
        <v>2024-01-14</v>
      </c>
      <c r="L319" s="20" t="s">
        <v>175</v>
      </c>
      <c r="M319" s="4"/>
      <c r="N319" s="2" t="s">
        <v>133</v>
      </c>
      <c r="O319" s="2"/>
      <c r="P319" s="4">
        <v>1</v>
      </c>
      <c r="Q319" s="2" t="s">
        <v>2129</v>
      </c>
      <c r="R319" s="11">
        <f>SUBTOTAL(3,_xlfn.SINGLE(tbl_file[RowId]))</f>
        <v>1</v>
      </c>
    </row>
    <row r="320" spans="10:18">
      <c r="J320" s="4">
        <v>1435</v>
      </c>
      <c r="K320" s="21" t="str">
        <f>HYPERLINK("obsidian://open?vault=o2&amp;file=2024-01-18.md","2024-01-18")</f>
        <v>2024-01-18</v>
      </c>
      <c r="L320" s="20" t="s">
        <v>175</v>
      </c>
      <c r="M320" s="4"/>
      <c r="N320" s="2" t="s">
        <v>2606</v>
      </c>
      <c r="O320" s="2"/>
      <c r="P320" s="4">
        <v>1</v>
      </c>
      <c r="Q320" s="2" t="s">
        <v>2317</v>
      </c>
      <c r="R320" s="11">
        <f>SUBTOTAL(3,_xlfn.SINGLE(tbl_file[RowId]))</f>
        <v>1</v>
      </c>
    </row>
    <row r="321" spans="10:18">
      <c r="J321" s="4">
        <v>1436</v>
      </c>
      <c r="K321" s="21" t="str">
        <f>HYPERLINK("obsidian://open?vault=o2&amp;file=2024-01-18.md","2024-01-18")</f>
        <v>2024-01-18</v>
      </c>
      <c r="L321" s="20" t="s">
        <v>175</v>
      </c>
      <c r="M321" s="4"/>
      <c r="N321" s="2" t="s">
        <v>133</v>
      </c>
      <c r="O321" s="2"/>
      <c r="P321" s="4">
        <v>1</v>
      </c>
      <c r="Q321" s="2" t="s">
        <v>2129</v>
      </c>
      <c r="R321" s="11">
        <f>SUBTOTAL(3,_xlfn.SINGLE(tbl_file[RowId]))</f>
        <v>1</v>
      </c>
    </row>
    <row r="322" spans="10:18">
      <c r="J322" s="4">
        <v>1437</v>
      </c>
      <c r="K322" s="21" t="str">
        <f>HYPERLINK("obsidian://open?vault=o2&amp;file=2024-01-20.md","2024-01-20")</f>
        <v>2024-01-20</v>
      </c>
      <c r="L322" s="20" t="s">
        <v>175</v>
      </c>
      <c r="M322" s="4"/>
      <c r="N322" s="2" t="s">
        <v>2606</v>
      </c>
      <c r="O322" s="2"/>
      <c r="P322" s="4">
        <v>1</v>
      </c>
      <c r="Q322" s="2" t="s">
        <v>2317</v>
      </c>
      <c r="R322" s="11">
        <f>SUBTOTAL(3,_xlfn.SINGLE(tbl_file[RowId]))</f>
        <v>1</v>
      </c>
    </row>
    <row r="323" spans="10:18">
      <c r="J323" s="4">
        <v>1438</v>
      </c>
      <c r="K323" s="21" t="str">
        <f>HYPERLINK("obsidian://open?vault=o2&amp;file=2024-01-20.md","2024-01-20")</f>
        <v>2024-01-20</v>
      </c>
      <c r="L323" s="20" t="s">
        <v>175</v>
      </c>
      <c r="M323" s="4"/>
      <c r="N323" s="2" t="s">
        <v>133</v>
      </c>
      <c r="O323" s="2"/>
      <c r="P323" s="4">
        <v>1</v>
      </c>
      <c r="Q323" s="2" t="s">
        <v>2129</v>
      </c>
      <c r="R323" s="11">
        <f>SUBTOTAL(3,_xlfn.SINGLE(tbl_file[RowId]))</f>
        <v>1</v>
      </c>
    </row>
    <row r="324" spans="10:18">
      <c r="J324" s="4">
        <v>1439</v>
      </c>
      <c r="K324" s="21" t="str">
        <f>HYPERLINK("obsidian://open?vault=o2&amp;file=2024-02-01.md","2024-02-01")</f>
        <v>2024-02-01</v>
      </c>
      <c r="L324" s="20" t="s">
        <v>175</v>
      </c>
      <c r="M324" s="4"/>
      <c r="N324" s="2" t="s">
        <v>2606</v>
      </c>
      <c r="O324" s="2"/>
      <c r="P324" s="4">
        <v>1</v>
      </c>
      <c r="Q324" s="2" t="s">
        <v>2317</v>
      </c>
      <c r="R324" s="11">
        <f>SUBTOTAL(3,_xlfn.SINGLE(tbl_file[RowId]))</f>
        <v>1</v>
      </c>
    </row>
    <row r="325" spans="10:18">
      <c r="J325" s="4">
        <v>1440</v>
      </c>
      <c r="K325" s="21" t="str">
        <f>HYPERLINK("obsidian://open?vault=o2&amp;file=2024-02-01.md","2024-02-01")</f>
        <v>2024-02-01</v>
      </c>
      <c r="L325" s="20" t="s">
        <v>175</v>
      </c>
      <c r="M325" s="4"/>
      <c r="N325" s="2" t="s">
        <v>133</v>
      </c>
      <c r="O325" s="2"/>
      <c r="P325" s="4">
        <v>1</v>
      </c>
      <c r="Q325" s="2" t="s">
        <v>2129</v>
      </c>
      <c r="R325" s="11">
        <f>SUBTOTAL(3,_xlfn.SINGLE(tbl_file[RowId]))</f>
        <v>1</v>
      </c>
    </row>
    <row r="326" spans="10:18">
      <c r="J326" s="4">
        <v>1441</v>
      </c>
      <c r="K326" s="21" t="str">
        <f>HYPERLINK("obsidian://open?vault=o2&amp;file=2024-02-06.md","2024-02-06")</f>
        <v>2024-02-06</v>
      </c>
      <c r="L326" s="20" t="s">
        <v>175</v>
      </c>
      <c r="M326" s="4"/>
      <c r="N326" s="2" t="s">
        <v>2606</v>
      </c>
      <c r="O326" s="2"/>
      <c r="P326" s="4">
        <v>1</v>
      </c>
      <c r="Q326" s="2" t="s">
        <v>2317</v>
      </c>
      <c r="R326" s="11">
        <f>SUBTOTAL(3,_xlfn.SINGLE(tbl_file[RowId]))</f>
        <v>1</v>
      </c>
    </row>
    <row r="327" spans="10:18">
      <c r="J327" s="4">
        <v>1442</v>
      </c>
      <c r="K327" s="21" t="str">
        <f>HYPERLINK("obsidian://open?vault=o2&amp;file=2024-02-06.md","2024-02-06")</f>
        <v>2024-02-06</v>
      </c>
      <c r="L327" s="20" t="s">
        <v>175</v>
      </c>
      <c r="M327" s="4"/>
      <c r="N327" s="2" t="s">
        <v>133</v>
      </c>
      <c r="O327" s="2"/>
      <c r="P327" s="4">
        <v>1</v>
      </c>
      <c r="Q327" s="2" t="s">
        <v>2129</v>
      </c>
      <c r="R327" s="11">
        <f>SUBTOTAL(3,_xlfn.SINGLE(tbl_file[RowId]))</f>
        <v>1</v>
      </c>
    </row>
    <row r="328" spans="10:18">
      <c r="J328" s="4">
        <v>1443</v>
      </c>
      <c r="K328" s="21" t="str">
        <f>HYPERLINK("obsidian://open?vault=o2&amp;file=2024-02-08.md","2024-02-08")</f>
        <v>2024-02-08</v>
      </c>
      <c r="L328" s="20" t="s">
        <v>175</v>
      </c>
      <c r="M328" s="4"/>
      <c r="N328" s="2" t="s">
        <v>2606</v>
      </c>
      <c r="O328" s="2"/>
      <c r="P328" s="4">
        <v>1</v>
      </c>
      <c r="Q328" s="2" t="s">
        <v>2317</v>
      </c>
      <c r="R328" s="11">
        <f>SUBTOTAL(3,_xlfn.SINGLE(tbl_file[RowId]))</f>
        <v>1</v>
      </c>
    </row>
    <row r="329" spans="10:18">
      <c r="J329" s="4">
        <v>1444</v>
      </c>
      <c r="K329" s="21" t="str">
        <f>HYPERLINK("obsidian://open?vault=o2&amp;file=2024-02-08.md","2024-02-08")</f>
        <v>2024-02-08</v>
      </c>
      <c r="L329" s="20" t="s">
        <v>175</v>
      </c>
      <c r="M329" s="4"/>
      <c r="N329" s="2" t="s">
        <v>133</v>
      </c>
      <c r="O329" s="2"/>
      <c r="P329" s="4">
        <v>1</v>
      </c>
      <c r="Q329" s="2" t="s">
        <v>2129</v>
      </c>
      <c r="R329" s="11">
        <f>SUBTOTAL(3,_xlfn.SINGLE(tbl_file[RowId]))</f>
        <v>1</v>
      </c>
    </row>
    <row r="330" spans="10:18">
      <c r="J330" s="4">
        <v>1445</v>
      </c>
      <c r="K330" s="21" t="str">
        <f>HYPERLINK("obsidian://open?vault=o2&amp;file=2024-02-09.md","2024-02-09")</f>
        <v>2024-02-09</v>
      </c>
      <c r="L330" s="20" t="s">
        <v>175</v>
      </c>
      <c r="M330" s="4"/>
      <c r="N330" s="2" t="s">
        <v>2606</v>
      </c>
      <c r="O330" s="2"/>
      <c r="P330" s="4">
        <v>1</v>
      </c>
      <c r="Q330" s="2" t="s">
        <v>2317</v>
      </c>
      <c r="R330" s="11">
        <f>SUBTOTAL(3,_xlfn.SINGLE(tbl_file[RowId]))</f>
        <v>1</v>
      </c>
    </row>
    <row r="331" spans="10:18">
      <c r="J331" s="4">
        <v>1446</v>
      </c>
      <c r="K331" s="21" t="str">
        <f>HYPERLINK("obsidian://open?vault=o2&amp;file=2024-02-09.md","2024-02-09")</f>
        <v>2024-02-09</v>
      </c>
      <c r="L331" s="20" t="s">
        <v>175</v>
      </c>
      <c r="M331" s="4"/>
      <c r="N331" s="2" t="s">
        <v>133</v>
      </c>
      <c r="O331" s="2"/>
      <c r="P331" s="4">
        <v>1</v>
      </c>
      <c r="Q331" s="2" t="s">
        <v>2129</v>
      </c>
      <c r="R331" s="11">
        <f>SUBTOTAL(3,_xlfn.SINGLE(tbl_file[RowId]))</f>
        <v>1</v>
      </c>
    </row>
    <row r="332" spans="10:18">
      <c r="J332" s="4">
        <v>1447</v>
      </c>
      <c r="K332" s="21" t="str">
        <f>HYPERLINK("obsidian://open?vault=o2&amp;file=2024-04-12.md","2024-04-12")</f>
        <v>2024-04-12</v>
      </c>
      <c r="L332" s="20" t="s">
        <v>175</v>
      </c>
      <c r="M332" s="4"/>
      <c r="N332" s="2" t="s">
        <v>2606</v>
      </c>
      <c r="O332" s="2"/>
      <c r="P332" s="4">
        <v>1</v>
      </c>
      <c r="Q332" s="2" t="s">
        <v>2317</v>
      </c>
      <c r="R332" s="11">
        <f>SUBTOTAL(3,_xlfn.SINGLE(tbl_file[RowId]))</f>
        <v>1</v>
      </c>
    </row>
    <row r="333" spans="10:18">
      <c r="J333" s="4">
        <v>1448</v>
      </c>
      <c r="K333" s="21" t="str">
        <f>HYPERLINK("obsidian://open?vault=o2&amp;file=2024-04-12.md","2024-04-12")</f>
        <v>2024-04-12</v>
      </c>
      <c r="L333" s="20" t="s">
        <v>175</v>
      </c>
      <c r="M333" s="4"/>
      <c r="N333" s="2" t="s">
        <v>133</v>
      </c>
      <c r="O333" s="2"/>
      <c r="P333" s="4">
        <v>1</v>
      </c>
      <c r="Q333" s="2" t="s">
        <v>2129</v>
      </c>
      <c r="R333" s="11">
        <f>SUBTOTAL(3,_xlfn.SINGLE(tbl_file[RowId]))</f>
        <v>1</v>
      </c>
    </row>
    <row r="334" spans="10:18">
      <c r="J334" s="4">
        <v>1449</v>
      </c>
      <c r="K334" s="21" t="str">
        <f>HYPERLINK("obsidian://open?vault=o2&amp;file=2024-05-21.md","2024-05-21")</f>
        <v>2024-05-21</v>
      </c>
      <c r="L334" s="20" t="s">
        <v>175</v>
      </c>
      <c r="M334" s="4"/>
      <c r="N334" s="2" t="s">
        <v>2606</v>
      </c>
      <c r="O334" s="2"/>
      <c r="P334" s="4">
        <v>1</v>
      </c>
      <c r="Q334" s="2" t="s">
        <v>2317</v>
      </c>
      <c r="R334" s="11">
        <f>SUBTOTAL(3,_xlfn.SINGLE(tbl_file[RowId]))</f>
        <v>1</v>
      </c>
    </row>
    <row r="335" spans="10:18">
      <c r="J335" s="4">
        <v>1450</v>
      </c>
      <c r="K335" s="21" t="str">
        <f>HYPERLINK("obsidian://open?vault=o2&amp;file=2024-05-21.md","2024-05-21")</f>
        <v>2024-05-21</v>
      </c>
      <c r="L335" s="20" t="s">
        <v>175</v>
      </c>
      <c r="M335" s="4"/>
      <c r="N335" s="2" t="s">
        <v>133</v>
      </c>
      <c r="O335" s="2"/>
      <c r="P335" s="4">
        <v>1</v>
      </c>
      <c r="Q335" s="2" t="s">
        <v>2129</v>
      </c>
      <c r="R335" s="11">
        <f>SUBTOTAL(3,_xlfn.SINGLE(tbl_file[RowId]))</f>
        <v>1</v>
      </c>
    </row>
    <row r="336" spans="10:18">
      <c r="J336" s="4">
        <v>1451</v>
      </c>
      <c r="K336" s="21" t="str">
        <f>HYPERLINK("obsidian://open?vault=o2&amp;file=2024-07-22.md","2024-07-22")</f>
        <v>2024-07-22</v>
      </c>
      <c r="L336" s="20" t="s">
        <v>175</v>
      </c>
      <c r="M336" s="4"/>
      <c r="N336" s="2" t="s">
        <v>2606</v>
      </c>
      <c r="O336" s="2"/>
      <c r="P336" s="4">
        <v>1</v>
      </c>
      <c r="Q336" s="2" t="s">
        <v>2317</v>
      </c>
      <c r="R336" s="11">
        <f>SUBTOTAL(3,_xlfn.SINGLE(tbl_file[RowId]))</f>
        <v>1</v>
      </c>
    </row>
    <row r="337" spans="10:18">
      <c r="J337" s="4">
        <v>1452</v>
      </c>
      <c r="K337" s="21" t="str">
        <f>HYPERLINK("obsidian://open?vault=o2&amp;file=2024-07-22.md","2024-07-22")</f>
        <v>2024-07-22</v>
      </c>
      <c r="L337" s="20" t="s">
        <v>175</v>
      </c>
      <c r="M337" s="4"/>
      <c r="N337" s="2" t="s">
        <v>133</v>
      </c>
      <c r="O337" s="2"/>
      <c r="P337" s="4">
        <v>1</v>
      </c>
      <c r="Q337" s="2" t="s">
        <v>2109</v>
      </c>
      <c r="R337" s="11">
        <f>SUBTOTAL(3,_xlfn.SINGLE(tbl_file[RowId]))</f>
        <v>1</v>
      </c>
    </row>
    <row r="338" spans="10:18">
      <c r="J338" s="4">
        <v>1453</v>
      </c>
      <c r="K338" s="21" t="str">
        <f>HYPERLINK("obsidian://open?vault=o2&amp;file=2024-09-01.md","2024-09-01")</f>
        <v>2024-09-01</v>
      </c>
      <c r="L338" s="20" t="s">
        <v>175</v>
      </c>
      <c r="M338" s="4"/>
      <c r="N338" s="2" t="s">
        <v>2606</v>
      </c>
      <c r="O338" s="2"/>
      <c r="P338" s="4">
        <v>1</v>
      </c>
      <c r="Q338" s="2" t="s">
        <v>2317</v>
      </c>
      <c r="R338" s="11">
        <f>SUBTOTAL(3,_xlfn.SINGLE(tbl_file[RowId]))</f>
        <v>1</v>
      </c>
    </row>
    <row r="339" spans="10:18">
      <c r="J339" s="4">
        <v>1454</v>
      </c>
      <c r="K339" s="21" t="str">
        <f>HYPERLINK("obsidian://open?vault=o2&amp;file=2024-09-01.md","2024-09-01")</f>
        <v>2024-09-01</v>
      </c>
      <c r="L339" s="20" t="s">
        <v>175</v>
      </c>
      <c r="M339" s="4"/>
      <c r="N339" s="2" t="s">
        <v>133</v>
      </c>
      <c r="O339" s="2"/>
      <c r="P339" s="4">
        <v>1</v>
      </c>
      <c r="Q339" s="2" t="s">
        <v>2109</v>
      </c>
      <c r="R339" s="11">
        <f>SUBTOTAL(3,_xlfn.SINGLE(tbl_file[RowId]))</f>
        <v>1</v>
      </c>
    </row>
    <row r="340" spans="10:18">
      <c r="J340" s="4">
        <v>1455</v>
      </c>
      <c r="K340" s="21" t="str">
        <f>HYPERLINK("obsidian://open?vault=o2&amp;file=2024-09-05.md","2024-09-05")</f>
        <v>2024-09-05</v>
      </c>
      <c r="L340" s="20" t="s">
        <v>175</v>
      </c>
      <c r="M340" s="4"/>
      <c r="N340" s="2" t="s">
        <v>2606</v>
      </c>
      <c r="O340" s="2"/>
      <c r="P340" s="4">
        <v>1</v>
      </c>
      <c r="Q340" s="2" t="s">
        <v>2317</v>
      </c>
      <c r="R340" s="11">
        <f>SUBTOTAL(3,_xlfn.SINGLE(tbl_file[RowId]))</f>
        <v>1</v>
      </c>
    </row>
    <row r="341" spans="10:18">
      <c r="J341" s="4">
        <v>1456</v>
      </c>
      <c r="K341" s="21" t="str">
        <f>HYPERLINK("obsidian://open?vault=o2&amp;file=2024-09-05.md","2024-09-05")</f>
        <v>2024-09-05</v>
      </c>
      <c r="L341" s="20" t="s">
        <v>175</v>
      </c>
      <c r="M341" s="4"/>
      <c r="N341" s="2" t="s">
        <v>133</v>
      </c>
      <c r="O341" s="2"/>
      <c r="P341" s="4">
        <v>1</v>
      </c>
      <c r="Q341" s="2" t="s">
        <v>2129</v>
      </c>
      <c r="R341" s="11">
        <f>SUBTOTAL(3,_xlfn.SINGLE(tbl_file[RowId]))</f>
        <v>1</v>
      </c>
    </row>
    <row r="342" spans="10:18">
      <c r="J342" s="4">
        <v>1457</v>
      </c>
      <c r="K342" s="21" t="str">
        <f>HYPERLINK("obsidian://open?vault=o2&amp;file=2024-09-06.md","2024-09-06")</f>
        <v>2024-09-06</v>
      </c>
      <c r="L342" s="20" t="s">
        <v>175</v>
      </c>
      <c r="M342" s="4"/>
      <c r="N342" s="2" t="s">
        <v>2606</v>
      </c>
      <c r="O342" s="2"/>
      <c r="P342" s="4">
        <v>1</v>
      </c>
      <c r="Q342" s="2" t="s">
        <v>2317</v>
      </c>
      <c r="R342" s="11">
        <f>SUBTOTAL(3,_xlfn.SINGLE(tbl_file[RowId]))</f>
        <v>1</v>
      </c>
    </row>
    <row r="343" spans="10:18">
      <c r="J343" s="4">
        <v>1458</v>
      </c>
      <c r="K343" s="21" t="str">
        <f>HYPERLINK("obsidian://open?vault=o2&amp;file=2024-09-06.md","2024-09-06")</f>
        <v>2024-09-06</v>
      </c>
      <c r="L343" s="20" t="s">
        <v>175</v>
      </c>
      <c r="M343" s="4"/>
      <c r="N343" s="2" t="s">
        <v>133</v>
      </c>
      <c r="O343" s="2"/>
      <c r="P343" s="4">
        <v>1</v>
      </c>
      <c r="Q343" s="2" t="s">
        <v>2129</v>
      </c>
      <c r="R343" s="11">
        <f>SUBTOTAL(3,_xlfn.SINGLE(tbl_file[RowId]))</f>
        <v>1</v>
      </c>
    </row>
    <row r="344" spans="10:18">
      <c r="J344" s="4">
        <v>1459</v>
      </c>
      <c r="K344" s="21" t="str">
        <f>HYPERLINK("obsidian://open?vault=o2&amp;file=2024-09-08.md","2024-09-08")</f>
        <v>2024-09-08</v>
      </c>
      <c r="L344" s="20" t="s">
        <v>175</v>
      </c>
      <c r="M344" s="4"/>
      <c r="N344" s="2" t="s">
        <v>2606</v>
      </c>
      <c r="O344" s="2"/>
      <c r="P344" s="4">
        <v>1</v>
      </c>
      <c r="Q344" s="2" t="s">
        <v>2317</v>
      </c>
      <c r="R344" s="11">
        <f>SUBTOTAL(3,_xlfn.SINGLE(tbl_file[RowId]))</f>
        <v>1</v>
      </c>
    </row>
    <row r="345" spans="10:18">
      <c r="J345" s="4">
        <v>1460</v>
      </c>
      <c r="K345" s="21" t="str">
        <f>HYPERLINK("obsidian://open?vault=o2&amp;file=2024-09-08.md","2024-09-08")</f>
        <v>2024-09-08</v>
      </c>
      <c r="L345" s="20" t="s">
        <v>175</v>
      </c>
      <c r="M345" s="4"/>
      <c r="N345" s="2" t="s">
        <v>133</v>
      </c>
      <c r="O345" s="2"/>
      <c r="P345" s="4">
        <v>1</v>
      </c>
      <c r="Q345" s="2" t="s">
        <v>2129</v>
      </c>
      <c r="R345" s="11">
        <f>SUBTOTAL(3,_xlfn.SINGLE(tbl_file[RowId]))</f>
        <v>1</v>
      </c>
    </row>
    <row r="346" spans="10:18">
      <c r="J346" s="4">
        <v>1461</v>
      </c>
      <c r="K346" s="21" t="str">
        <f>HYPERLINK("obsidian://open?vault=o2&amp;file=2024-09-09.md","2024-09-09")</f>
        <v>2024-09-09</v>
      </c>
      <c r="L346" s="20" t="s">
        <v>175</v>
      </c>
      <c r="M346" s="4"/>
      <c r="N346" s="2" t="s">
        <v>2606</v>
      </c>
      <c r="O346" s="2"/>
      <c r="P346" s="4">
        <v>1</v>
      </c>
      <c r="Q346" s="2" t="s">
        <v>2317</v>
      </c>
      <c r="R346" s="11">
        <f>SUBTOTAL(3,_xlfn.SINGLE(tbl_file[RowId]))</f>
        <v>1</v>
      </c>
    </row>
    <row r="347" spans="10:18">
      <c r="J347" s="4">
        <v>1462</v>
      </c>
      <c r="K347" s="21" t="str">
        <f>HYPERLINK("obsidian://open?vault=o2&amp;file=2024-09-09.md","2024-09-09")</f>
        <v>2024-09-09</v>
      </c>
      <c r="L347" s="20" t="s">
        <v>175</v>
      </c>
      <c r="M347" s="4"/>
      <c r="N347" s="2" t="s">
        <v>133</v>
      </c>
      <c r="O347" s="2"/>
      <c r="P347" s="4">
        <v>1</v>
      </c>
      <c r="Q347" s="2" t="s">
        <v>2129</v>
      </c>
      <c r="R347" s="11">
        <f>SUBTOTAL(3,_xlfn.SINGLE(tbl_file[RowId]))</f>
        <v>1</v>
      </c>
    </row>
    <row r="348" spans="10:18">
      <c r="J348" s="4">
        <v>1463</v>
      </c>
      <c r="K348" s="21" t="str">
        <f>HYPERLINK("obsidian://open?vault=o2&amp;file=2024-09-10.md","2024-09-10")</f>
        <v>2024-09-10</v>
      </c>
      <c r="L348" s="20" t="s">
        <v>175</v>
      </c>
      <c r="M348" s="4"/>
      <c r="N348" s="2" t="s">
        <v>2606</v>
      </c>
      <c r="O348" s="2"/>
      <c r="P348" s="4">
        <v>1</v>
      </c>
      <c r="Q348" s="2" t="s">
        <v>2317</v>
      </c>
      <c r="R348" s="11">
        <f>SUBTOTAL(3,_xlfn.SINGLE(tbl_file[RowId]))</f>
        <v>1</v>
      </c>
    </row>
    <row r="349" spans="10:18">
      <c r="J349" s="4">
        <v>1464</v>
      </c>
      <c r="K349" s="21" t="str">
        <f>HYPERLINK("obsidian://open?vault=o2&amp;file=2024-09-10.md","2024-09-10")</f>
        <v>2024-09-10</v>
      </c>
      <c r="L349" s="20" t="s">
        <v>175</v>
      </c>
      <c r="M349" s="4"/>
      <c r="N349" s="2" t="s">
        <v>133</v>
      </c>
      <c r="O349" s="2"/>
      <c r="P349" s="4">
        <v>1</v>
      </c>
      <c r="Q349" s="2" t="s">
        <v>2129</v>
      </c>
      <c r="R349" s="11">
        <f>SUBTOTAL(3,_xlfn.SINGLE(tbl_file[RowId]))</f>
        <v>1</v>
      </c>
    </row>
    <row r="350" spans="10:18">
      <c r="J350" s="4">
        <v>1465</v>
      </c>
      <c r="K350" s="21" t="str">
        <f>HYPERLINK("obsidian://open?vault=o2&amp;file=2024-09-11.md","2024-09-11")</f>
        <v>2024-09-11</v>
      </c>
      <c r="L350" s="20" t="s">
        <v>175</v>
      </c>
      <c r="M350" s="4"/>
      <c r="N350" s="2" t="s">
        <v>2606</v>
      </c>
      <c r="O350" s="2"/>
      <c r="P350" s="4">
        <v>1</v>
      </c>
      <c r="Q350" s="2" t="s">
        <v>2317</v>
      </c>
      <c r="R350" s="11">
        <f>SUBTOTAL(3,_xlfn.SINGLE(tbl_file[RowId]))</f>
        <v>1</v>
      </c>
    </row>
    <row r="351" spans="10:18">
      <c r="J351" s="4">
        <v>1466</v>
      </c>
      <c r="K351" s="21" t="str">
        <f>HYPERLINK("obsidian://open?vault=o2&amp;file=2024-09-11.md","2024-09-11")</f>
        <v>2024-09-11</v>
      </c>
      <c r="L351" s="20" t="s">
        <v>175</v>
      </c>
      <c r="M351" s="4"/>
      <c r="N351" s="2" t="s">
        <v>133</v>
      </c>
      <c r="O351" s="2"/>
      <c r="P351" s="4">
        <v>1</v>
      </c>
      <c r="Q351" s="2" t="s">
        <v>2129</v>
      </c>
      <c r="R351" s="11">
        <f>SUBTOTAL(3,_xlfn.SINGLE(tbl_file[RowId]))</f>
        <v>1</v>
      </c>
    </row>
    <row r="352" spans="10:18">
      <c r="J352" s="4">
        <v>1467</v>
      </c>
      <c r="K352" s="21" t="str">
        <f>HYPERLINK("obsidian://open?vault=o2&amp;file=2024-09-12.md","2024-09-12")</f>
        <v>2024-09-12</v>
      </c>
      <c r="L352" s="20" t="s">
        <v>175</v>
      </c>
      <c r="M352" s="4"/>
      <c r="N352" s="2" t="s">
        <v>2606</v>
      </c>
      <c r="O352" s="2"/>
      <c r="P352" s="4">
        <v>1</v>
      </c>
      <c r="Q352" s="2" t="s">
        <v>2317</v>
      </c>
      <c r="R352" s="11">
        <f>SUBTOTAL(3,_xlfn.SINGLE(tbl_file[RowId]))</f>
        <v>1</v>
      </c>
    </row>
    <row r="353" spans="10:18">
      <c r="J353" s="4">
        <v>1468</v>
      </c>
      <c r="K353" s="21" t="str">
        <f>HYPERLINK("obsidian://open?vault=o2&amp;file=2024-09-12.md","2024-09-12")</f>
        <v>2024-09-12</v>
      </c>
      <c r="L353" s="20" t="s">
        <v>175</v>
      </c>
      <c r="M353" s="4"/>
      <c r="N353" s="2" t="s">
        <v>133</v>
      </c>
      <c r="O353" s="2"/>
      <c r="P353" s="4">
        <v>1</v>
      </c>
      <c r="Q353" s="2" t="s">
        <v>2129</v>
      </c>
      <c r="R353" s="11">
        <f>SUBTOTAL(3,_xlfn.SINGLE(tbl_file[RowId]))</f>
        <v>1</v>
      </c>
    </row>
    <row r="354" spans="10:18">
      <c r="J354" s="4">
        <v>1469</v>
      </c>
      <c r="K354" s="21" t="str">
        <f>HYPERLINK("obsidian://open?vault=o2&amp;file=2024-09-13.md","2024-09-13")</f>
        <v>2024-09-13</v>
      </c>
      <c r="L354" s="20" t="s">
        <v>175</v>
      </c>
      <c r="M354" s="4"/>
      <c r="N354" s="2" t="s">
        <v>2606</v>
      </c>
      <c r="O354" s="2"/>
      <c r="P354" s="4">
        <v>1</v>
      </c>
      <c r="Q354" s="2" t="s">
        <v>2317</v>
      </c>
      <c r="R354" s="11">
        <f>SUBTOTAL(3,_xlfn.SINGLE(tbl_file[RowId]))</f>
        <v>1</v>
      </c>
    </row>
    <row r="355" spans="10:18">
      <c r="J355" s="4">
        <v>1470</v>
      </c>
      <c r="K355" s="21" t="str">
        <f>HYPERLINK("obsidian://open?vault=o2&amp;file=2024-09-13.md","2024-09-13")</f>
        <v>2024-09-13</v>
      </c>
      <c r="L355" s="20" t="s">
        <v>175</v>
      </c>
      <c r="M355" s="4"/>
      <c r="N355" s="2" t="s">
        <v>133</v>
      </c>
      <c r="O355" s="2"/>
      <c r="P355" s="4">
        <v>1</v>
      </c>
      <c r="Q355" s="2" t="s">
        <v>2129</v>
      </c>
      <c r="R355" s="11">
        <f>SUBTOTAL(3,_xlfn.SINGLE(tbl_file[RowId]))</f>
        <v>1</v>
      </c>
    </row>
    <row r="356" spans="10:18">
      <c r="J356" s="4">
        <v>1471</v>
      </c>
      <c r="K356" s="21" t="str">
        <f>HYPERLINK("obsidian://open?vault=o2&amp;file=2024-09-15.md","2024-09-15")</f>
        <v>2024-09-15</v>
      </c>
      <c r="L356" s="20" t="s">
        <v>175</v>
      </c>
      <c r="M356" s="4"/>
      <c r="N356" s="2" t="s">
        <v>2606</v>
      </c>
      <c r="O356" s="2"/>
      <c r="P356" s="4">
        <v>1</v>
      </c>
      <c r="Q356" s="2" t="s">
        <v>2317</v>
      </c>
      <c r="R356" s="11">
        <f>SUBTOTAL(3,_xlfn.SINGLE(tbl_file[RowId]))</f>
        <v>1</v>
      </c>
    </row>
    <row r="357" spans="10:18">
      <c r="J357" s="4">
        <v>1472</v>
      </c>
      <c r="K357" s="21" t="str">
        <f>HYPERLINK("obsidian://open?vault=o2&amp;file=2024-09-15.md","2024-09-15")</f>
        <v>2024-09-15</v>
      </c>
      <c r="L357" s="20" t="s">
        <v>175</v>
      </c>
      <c r="M357" s="4"/>
      <c r="N357" s="2" t="s">
        <v>133</v>
      </c>
      <c r="O357" s="2"/>
      <c r="P357" s="4">
        <v>1</v>
      </c>
      <c r="Q357" s="2" t="s">
        <v>2129</v>
      </c>
      <c r="R357" s="11">
        <f>SUBTOTAL(3,_xlfn.SINGLE(tbl_file[RowId]))</f>
        <v>1</v>
      </c>
    </row>
    <row r="358" spans="10:18">
      <c r="J358" s="4">
        <v>1473</v>
      </c>
      <c r="K358" s="21" t="str">
        <f>HYPERLINK("obsidian://open?vault=o2&amp;file=2024-09-16.md","2024-09-16")</f>
        <v>2024-09-16</v>
      </c>
      <c r="L358" s="20" t="s">
        <v>175</v>
      </c>
      <c r="M358" s="4"/>
      <c r="N358" s="2" t="s">
        <v>2606</v>
      </c>
      <c r="O358" s="2"/>
      <c r="P358" s="4">
        <v>1</v>
      </c>
      <c r="Q358" s="2" t="s">
        <v>2317</v>
      </c>
      <c r="R358" s="11">
        <f>SUBTOTAL(3,_xlfn.SINGLE(tbl_file[RowId]))</f>
        <v>1</v>
      </c>
    </row>
    <row r="359" spans="10:18">
      <c r="J359" s="4">
        <v>1474</v>
      </c>
      <c r="K359" s="21" t="str">
        <f>HYPERLINK("obsidian://open?vault=o2&amp;file=2024-09-16.md","2024-09-16")</f>
        <v>2024-09-16</v>
      </c>
      <c r="L359" s="20" t="s">
        <v>175</v>
      </c>
      <c r="M359" s="4"/>
      <c r="N359" s="2" t="s">
        <v>133</v>
      </c>
      <c r="O359" s="2"/>
      <c r="P359" s="4">
        <v>1</v>
      </c>
      <c r="Q359" s="2" t="s">
        <v>2129</v>
      </c>
      <c r="R359" s="11">
        <f>SUBTOTAL(3,_xlfn.SINGLE(tbl_file[RowId]))</f>
        <v>1</v>
      </c>
    </row>
    <row r="360" spans="10:18">
      <c r="J360" s="4">
        <v>1475</v>
      </c>
      <c r="K360" s="21" t="str">
        <f>HYPERLINK("obsidian://open?vault=o2&amp;file=2024-09-17.md","2024-09-17")</f>
        <v>2024-09-17</v>
      </c>
      <c r="L360" s="20" t="s">
        <v>175</v>
      </c>
      <c r="M360" s="4"/>
      <c r="N360" s="2" t="s">
        <v>2606</v>
      </c>
      <c r="O360" s="2"/>
      <c r="P360" s="4">
        <v>1</v>
      </c>
      <c r="Q360" s="2" t="s">
        <v>2317</v>
      </c>
      <c r="R360" s="11">
        <f>SUBTOTAL(3,_xlfn.SINGLE(tbl_file[RowId]))</f>
        <v>1</v>
      </c>
    </row>
    <row r="361" spans="10:18">
      <c r="J361" s="4">
        <v>1476</v>
      </c>
      <c r="K361" s="21" t="str">
        <f>HYPERLINK("obsidian://open?vault=o2&amp;file=2024-09-17.md","2024-09-17")</f>
        <v>2024-09-17</v>
      </c>
      <c r="L361" s="20" t="s">
        <v>175</v>
      </c>
      <c r="M361" s="4"/>
      <c r="N361" s="2" t="s">
        <v>133</v>
      </c>
      <c r="O361" s="2"/>
      <c r="P361" s="4">
        <v>1</v>
      </c>
      <c r="Q361" s="2" t="s">
        <v>2129</v>
      </c>
      <c r="R361" s="11">
        <f>SUBTOTAL(3,_xlfn.SINGLE(tbl_file[RowId]))</f>
        <v>1</v>
      </c>
    </row>
    <row r="362" spans="10:18">
      <c r="J362" s="4">
        <v>1477</v>
      </c>
      <c r="K362" s="21" t="str">
        <f>HYPERLINK("obsidian://open?vault=o2&amp;file=2024-09-18.md","2024-09-18")</f>
        <v>2024-09-18</v>
      </c>
      <c r="L362" s="20" t="s">
        <v>175</v>
      </c>
      <c r="M362" s="4"/>
      <c r="N362" s="2" t="s">
        <v>2606</v>
      </c>
      <c r="O362" s="2"/>
      <c r="P362" s="4">
        <v>1</v>
      </c>
      <c r="Q362" s="2" t="s">
        <v>2317</v>
      </c>
      <c r="R362" s="11">
        <f>SUBTOTAL(3,_xlfn.SINGLE(tbl_file[RowId]))</f>
        <v>1</v>
      </c>
    </row>
    <row r="363" spans="10:18">
      <c r="J363" s="4">
        <v>1478</v>
      </c>
      <c r="K363" s="21" t="str">
        <f>HYPERLINK("obsidian://open?vault=o2&amp;file=2024-09-18.md","2024-09-18")</f>
        <v>2024-09-18</v>
      </c>
      <c r="L363" s="20" t="s">
        <v>175</v>
      </c>
      <c r="M363" s="4"/>
      <c r="N363" s="2" t="s">
        <v>133</v>
      </c>
      <c r="O363" s="2"/>
      <c r="P363" s="4">
        <v>1</v>
      </c>
      <c r="Q363" s="2" t="s">
        <v>2129</v>
      </c>
      <c r="R363" s="11">
        <f>SUBTOTAL(3,_xlfn.SINGLE(tbl_file[RowId]))</f>
        <v>1</v>
      </c>
    </row>
    <row r="364" spans="10:18">
      <c r="J364" s="4">
        <v>1479</v>
      </c>
      <c r="K364" s="21" t="str">
        <f>HYPERLINK("obsidian://open?vault=o2&amp;file=2024-09-19.md","2024-09-19")</f>
        <v>2024-09-19</v>
      </c>
      <c r="L364" s="20" t="s">
        <v>175</v>
      </c>
      <c r="M364" s="4"/>
      <c r="N364" s="2" t="s">
        <v>2606</v>
      </c>
      <c r="O364" s="2"/>
      <c r="P364" s="4">
        <v>1</v>
      </c>
      <c r="Q364" s="2" t="s">
        <v>2317</v>
      </c>
      <c r="R364" s="11">
        <f>SUBTOTAL(3,_xlfn.SINGLE(tbl_file[RowId]))</f>
        <v>1</v>
      </c>
    </row>
    <row r="365" spans="10:18">
      <c r="J365" s="4">
        <v>1480</v>
      </c>
      <c r="K365" s="21" t="str">
        <f>HYPERLINK("obsidian://open?vault=o2&amp;file=2024-09-19.md","2024-09-19")</f>
        <v>2024-09-19</v>
      </c>
      <c r="L365" s="20" t="s">
        <v>175</v>
      </c>
      <c r="M365" s="4"/>
      <c r="N365" s="2" t="s">
        <v>133</v>
      </c>
      <c r="O365" s="2"/>
      <c r="P365" s="4">
        <v>1</v>
      </c>
      <c r="Q365" s="2" t="s">
        <v>2129</v>
      </c>
      <c r="R365" s="11">
        <f>SUBTOTAL(3,_xlfn.SINGLE(tbl_file[RowId]))</f>
        <v>1</v>
      </c>
    </row>
    <row r="366" spans="10:18">
      <c r="J366" s="4">
        <v>1481</v>
      </c>
      <c r="K366" s="21" t="str">
        <f>HYPERLINK("obsidian://open?vault=o2&amp;file=2024-09-20.md","2024-09-20")</f>
        <v>2024-09-20</v>
      </c>
      <c r="L366" s="20" t="s">
        <v>175</v>
      </c>
      <c r="M366" s="4"/>
      <c r="N366" s="2" t="s">
        <v>2606</v>
      </c>
      <c r="O366" s="2"/>
      <c r="P366" s="4">
        <v>1</v>
      </c>
      <c r="Q366" s="2" t="s">
        <v>2317</v>
      </c>
      <c r="R366" s="11">
        <f>SUBTOTAL(3,_xlfn.SINGLE(tbl_file[RowId]))</f>
        <v>1</v>
      </c>
    </row>
    <row r="367" spans="10:18">
      <c r="J367" s="4">
        <v>1482</v>
      </c>
      <c r="K367" s="21" t="str">
        <f>HYPERLINK("obsidian://open?vault=o2&amp;file=2024-09-20.md","2024-09-20")</f>
        <v>2024-09-20</v>
      </c>
      <c r="L367" s="20" t="s">
        <v>175</v>
      </c>
      <c r="M367" s="4"/>
      <c r="N367" s="2" t="s">
        <v>133</v>
      </c>
      <c r="O367" s="2"/>
      <c r="P367" s="4">
        <v>1</v>
      </c>
      <c r="Q367" s="2" t="s">
        <v>2129</v>
      </c>
      <c r="R367" s="11">
        <f>SUBTOTAL(3,_xlfn.SINGLE(tbl_file[RowId]))</f>
        <v>1</v>
      </c>
    </row>
    <row r="368" spans="10:18">
      <c r="J368" s="4">
        <v>1483</v>
      </c>
      <c r="K368" s="21" t="str">
        <f>HYPERLINK("obsidian://open?vault=o2&amp;file=2024-09-21.md","2024-09-21")</f>
        <v>2024-09-21</v>
      </c>
      <c r="L368" s="20" t="s">
        <v>175</v>
      </c>
      <c r="M368" s="4"/>
      <c r="N368" s="2" t="s">
        <v>2606</v>
      </c>
      <c r="O368" s="2"/>
      <c r="P368" s="4">
        <v>1</v>
      </c>
      <c r="Q368" s="2" t="s">
        <v>2317</v>
      </c>
      <c r="R368" s="11">
        <f>SUBTOTAL(3,_xlfn.SINGLE(tbl_file[RowId]))</f>
        <v>1</v>
      </c>
    </row>
    <row r="369" spans="10:18">
      <c r="J369" s="4">
        <v>1484</v>
      </c>
      <c r="K369" s="21" t="str">
        <f>HYPERLINK("obsidian://open?vault=o2&amp;file=2024-09-21.md","2024-09-21")</f>
        <v>2024-09-21</v>
      </c>
      <c r="L369" s="20" t="s">
        <v>175</v>
      </c>
      <c r="M369" s="4"/>
      <c r="N369" s="2" t="s">
        <v>133</v>
      </c>
      <c r="O369" s="2"/>
      <c r="P369" s="4">
        <v>1</v>
      </c>
      <c r="Q369" s="2" t="s">
        <v>2129</v>
      </c>
      <c r="R369" s="11">
        <f>SUBTOTAL(3,_xlfn.SINGLE(tbl_file[RowId]))</f>
        <v>1</v>
      </c>
    </row>
    <row r="370" spans="10:18">
      <c r="J370" s="4">
        <v>1485</v>
      </c>
      <c r="K370" s="21" t="str">
        <f>HYPERLINK("obsidian://open?vault=o2&amp;file=2024-09-22.md","2024-09-22")</f>
        <v>2024-09-22</v>
      </c>
      <c r="L370" s="20" t="s">
        <v>175</v>
      </c>
      <c r="M370" s="4"/>
      <c r="N370" s="2" t="s">
        <v>2606</v>
      </c>
      <c r="O370" s="2"/>
      <c r="P370" s="4">
        <v>1</v>
      </c>
      <c r="Q370" s="2" t="s">
        <v>2317</v>
      </c>
      <c r="R370" s="11">
        <f>SUBTOTAL(3,_xlfn.SINGLE(tbl_file[RowId]))</f>
        <v>1</v>
      </c>
    </row>
    <row r="371" spans="10:18">
      <c r="J371" s="4">
        <v>1486</v>
      </c>
      <c r="K371" s="21" t="str">
        <f>HYPERLINK("obsidian://open?vault=o2&amp;file=2024-09-22.md","2024-09-22")</f>
        <v>2024-09-22</v>
      </c>
      <c r="L371" s="20" t="s">
        <v>175</v>
      </c>
      <c r="M371" s="4"/>
      <c r="N371" s="2" t="s">
        <v>133</v>
      </c>
      <c r="O371" s="2"/>
      <c r="P371" s="4">
        <v>1</v>
      </c>
      <c r="Q371" s="2" t="s">
        <v>2129</v>
      </c>
      <c r="R371" s="11">
        <f>SUBTOTAL(3,_xlfn.SINGLE(tbl_file[RowId]))</f>
        <v>1</v>
      </c>
    </row>
    <row r="372" spans="10:18">
      <c r="J372" s="4">
        <v>1487</v>
      </c>
      <c r="K372" s="21" t="str">
        <f>HYPERLINK("obsidian://open?vault=o2&amp;file=2024-09-23.md","2024-09-23")</f>
        <v>2024-09-23</v>
      </c>
      <c r="L372" s="20" t="s">
        <v>175</v>
      </c>
      <c r="M372" s="4"/>
      <c r="N372" s="2" t="s">
        <v>2606</v>
      </c>
      <c r="O372" s="2"/>
      <c r="P372" s="4">
        <v>1</v>
      </c>
      <c r="Q372" s="2" t="s">
        <v>2317</v>
      </c>
      <c r="R372" s="11">
        <f>SUBTOTAL(3,_xlfn.SINGLE(tbl_file[RowId]))</f>
        <v>1</v>
      </c>
    </row>
    <row r="373" spans="10:18">
      <c r="J373" s="4">
        <v>1488</v>
      </c>
      <c r="K373" s="21" t="str">
        <f>HYPERLINK("obsidian://open?vault=o2&amp;file=2024-09-23.md","2024-09-23")</f>
        <v>2024-09-23</v>
      </c>
      <c r="L373" s="20" t="s">
        <v>175</v>
      </c>
      <c r="M373" s="4"/>
      <c r="N373" s="2" t="s">
        <v>133</v>
      </c>
      <c r="O373" s="2"/>
      <c r="P373" s="4">
        <v>1</v>
      </c>
      <c r="Q373" s="2" t="s">
        <v>2129</v>
      </c>
      <c r="R373" s="11">
        <f>SUBTOTAL(3,_xlfn.SINGLE(tbl_file[RowId]))</f>
        <v>1</v>
      </c>
    </row>
    <row r="374" spans="10:18">
      <c r="J374" s="4">
        <v>1489</v>
      </c>
      <c r="K374" s="21" t="str">
        <f>HYPERLINK("obsidian://open?vault=o2&amp;file=2024-09-24.md","2024-09-24")</f>
        <v>2024-09-24</v>
      </c>
      <c r="L374" s="20" t="s">
        <v>175</v>
      </c>
      <c r="M374" s="4"/>
      <c r="N374" s="2" t="s">
        <v>2606</v>
      </c>
      <c r="O374" s="2"/>
      <c r="P374" s="4">
        <v>1</v>
      </c>
      <c r="Q374" s="2" t="s">
        <v>2317</v>
      </c>
      <c r="R374" s="11">
        <f>SUBTOTAL(3,_xlfn.SINGLE(tbl_file[RowId]))</f>
        <v>1</v>
      </c>
    </row>
    <row r="375" spans="10:18">
      <c r="J375" s="4">
        <v>1490</v>
      </c>
      <c r="K375" s="21" t="str">
        <f>HYPERLINK("obsidian://open?vault=o2&amp;file=2024-09-24.md","2024-09-24")</f>
        <v>2024-09-24</v>
      </c>
      <c r="L375" s="20" t="s">
        <v>175</v>
      </c>
      <c r="M375" s="4"/>
      <c r="N375" s="2" t="s">
        <v>133</v>
      </c>
      <c r="O375" s="2"/>
      <c r="P375" s="4">
        <v>1</v>
      </c>
      <c r="Q375" s="2" t="s">
        <v>2129</v>
      </c>
      <c r="R375" s="11">
        <f>SUBTOTAL(3,_xlfn.SINGLE(tbl_file[RowId]))</f>
        <v>1</v>
      </c>
    </row>
    <row r="376" spans="10:18">
      <c r="J376" s="4">
        <v>1491</v>
      </c>
      <c r="K376" s="21" t="str">
        <f>HYPERLINK("obsidian://open?vault=o2&amp;file=2024-09-25.md","2024-09-25")</f>
        <v>2024-09-25</v>
      </c>
      <c r="L376" s="20" t="s">
        <v>175</v>
      </c>
      <c r="M376" s="4"/>
      <c r="N376" s="2" t="s">
        <v>2606</v>
      </c>
      <c r="O376" s="2"/>
      <c r="P376" s="4">
        <v>1</v>
      </c>
      <c r="Q376" s="2" t="s">
        <v>2317</v>
      </c>
      <c r="R376" s="11">
        <f>SUBTOTAL(3,_xlfn.SINGLE(tbl_file[RowId]))</f>
        <v>1</v>
      </c>
    </row>
    <row r="377" spans="10:18">
      <c r="J377" s="4">
        <v>1492</v>
      </c>
      <c r="K377" s="21" t="str">
        <f>HYPERLINK("obsidian://open?vault=o2&amp;file=2024-09-25.md","2024-09-25")</f>
        <v>2024-09-25</v>
      </c>
      <c r="L377" s="20" t="s">
        <v>175</v>
      </c>
      <c r="M377" s="4"/>
      <c r="N377" s="2" t="s">
        <v>133</v>
      </c>
      <c r="O377" s="2"/>
      <c r="P377" s="4">
        <v>1</v>
      </c>
      <c r="Q377" s="2" t="s">
        <v>2129</v>
      </c>
      <c r="R377" s="11">
        <f>SUBTOTAL(3,_xlfn.SINGLE(tbl_file[RowId]))</f>
        <v>1</v>
      </c>
    </row>
    <row r="378" spans="10:18">
      <c r="J378" s="4">
        <v>1493</v>
      </c>
      <c r="K378" s="21" t="str">
        <f>HYPERLINK("obsidian://open?vault=o2&amp;file=2024-09-26.md","2024-09-26")</f>
        <v>2024-09-26</v>
      </c>
      <c r="L378" s="20" t="s">
        <v>175</v>
      </c>
      <c r="M378" s="4"/>
      <c r="N378" s="2" t="s">
        <v>2606</v>
      </c>
      <c r="O378" s="2"/>
      <c r="P378" s="4">
        <v>1</v>
      </c>
      <c r="Q378" s="2" t="s">
        <v>2317</v>
      </c>
      <c r="R378" s="11">
        <f>SUBTOTAL(3,_xlfn.SINGLE(tbl_file[RowId]))</f>
        <v>1</v>
      </c>
    </row>
    <row r="379" spans="10:18">
      <c r="J379" s="4">
        <v>1494</v>
      </c>
      <c r="K379" s="21" t="str">
        <f>HYPERLINK("obsidian://open?vault=o2&amp;file=2024-09-26.md","2024-09-26")</f>
        <v>2024-09-26</v>
      </c>
      <c r="L379" s="20" t="s">
        <v>175</v>
      </c>
      <c r="M379" s="4"/>
      <c r="N379" s="2" t="s">
        <v>133</v>
      </c>
      <c r="O379" s="2"/>
      <c r="P379" s="4">
        <v>1</v>
      </c>
      <c r="Q379" s="2" t="s">
        <v>2129</v>
      </c>
      <c r="R379" s="11">
        <f>SUBTOTAL(3,_xlfn.SINGLE(tbl_file[RowId]))</f>
        <v>1</v>
      </c>
    </row>
    <row r="380" spans="10:18">
      <c r="J380" s="4">
        <v>1495</v>
      </c>
      <c r="K380" s="21" t="str">
        <f>HYPERLINK("obsidian://open?vault=o2&amp;file=2024-09-27.md","2024-09-27")</f>
        <v>2024-09-27</v>
      </c>
      <c r="L380" s="20" t="s">
        <v>175</v>
      </c>
      <c r="M380" s="4"/>
      <c r="N380" s="2" t="s">
        <v>2606</v>
      </c>
      <c r="O380" s="2"/>
      <c r="P380" s="4">
        <v>1</v>
      </c>
      <c r="Q380" s="2" t="s">
        <v>2317</v>
      </c>
      <c r="R380" s="11">
        <f>SUBTOTAL(3,_xlfn.SINGLE(tbl_file[RowId]))</f>
        <v>1</v>
      </c>
    </row>
    <row r="381" spans="10:18">
      <c r="J381" s="4">
        <v>1496</v>
      </c>
      <c r="K381" s="21" t="str">
        <f>HYPERLINK("obsidian://open?vault=o2&amp;file=2024-09-27.md","2024-09-27")</f>
        <v>2024-09-27</v>
      </c>
      <c r="L381" s="20" t="s">
        <v>175</v>
      </c>
      <c r="M381" s="4"/>
      <c r="N381" s="2" t="s">
        <v>133</v>
      </c>
      <c r="O381" s="2"/>
      <c r="P381" s="4">
        <v>1</v>
      </c>
      <c r="Q381" s="2" t="s">
        <v>2129</v>
      </c>
      <c r="R381" s="11">
        <f>SUBTOTAL(3,_xlfn.SINGLE(tbl_file[RowId]))</f>
        <v>1</v>
      </c>
    </row>
    <row r="382" spans="10:18">
      <c r="J382" s="4">
        <v>1497</v>
      </c>
      <c r="K382" s="21" t="str">
        <f>HYPERLINK("obsidian://open?vault=o2&amp;file=2024-09-28.md","2024-09-28")</f>
        <v>2024-09-28</v>
      </c>
      <c r="L382" s="20" t="s">
        <v>175</v>
      </c>
      <c r="M382" s="4"/>
      <c r="N382" s="2" t="s">
        <v>2606</v>
      </c>
      <c r="O382" s="2"/>
      <c r="P382" s="4">
        <v>1</v>
      </c>
      <c r="Q382" s="2" t="s">
        <v>2317</v>
      </c>
      <c r="R382" s="11">
        <f>SUBTOTAL(3,_xlfn.SINGLE(tbl_file[RowId]))</f>
        <v>1</v>
      </c>
    </row>
    <row r="383" spans="10:18">
      <c r="J383" s="4">
        <v>1498</v>
      </c>
      <c r="K383" s="21" t="str">
        <f>HYPERLINK("obsidian://open?vault=o2&amp;file=2024-09-28.md","2024-09-28")</f>
        <v>2024-09-28</v>
      </c>
      <c r="L383" s="20" t="s">
        <v>175</v>
      </c>
      <c r="M383" s="4"/>
      <c r="N383" s="2" t="s">
        <v>133</v>
      </c>
      <c r="O383" s="2"/>
      <c r="P383" s="4">
        <v>1</v>
      </c>
      <c r="Q383" s="2" t="s">
        <v>2129</v>
      </c>
      <c r="R383" s="11">
        <f>SUBTOTAL(3,_xlfn.SINGLE(tbl_file[RowId]))</f>
        <v>1</v>
      </c>
    </row>
    <row r="384" spans="10:18">
      <c r="J384" s="4">
        <v>1499</v>
      </c>
      <c r="K384" s="21" t="str">
        <f>HYPERLINK("obsidian://open?vault=o2&amp;file=2024-09-29.md","2024-09-29")</f>
        <v>2024-09-29</v>
      </c>
      <c r="L384" s="20" t="s">
        <v>175</v>
      </c>
      <c r="M384" s="4"/>
      <c r="N384" s="2" t="s">
        <v>2606</v>
      </c>
      <c r="O384" s="2"/>
      <c r="P384" s="4">
        <v>1</v>
      </c>
      <c r="Q384" s="2" t="s">
        <v>2317</v>
      </c>
      <c r="R384" s="11">
        <f>SUBTOTAL(3,_xlfn.SINGLE(tbl_file[RowId]))</f>
        <v>1</v>
      </c>
    </row>
    <row r="385" spans="10:18">
      <c r="J385" s="4">
        <v>1500</v>
      </c>
      <c r="K385" s="21" t="str">
        <f>HYPERLINK("obsidian://open?vault=o2&amp;file=2024-09-29.md","2024-09-29")</f>
        <v>2024-09-29</v>
      </c>
      <c r="L385" s="20" t="s">
        <v>175</v>
      </c>
      <c r="M385" s="4"/>
      <c r="N385" s="2" t="s">
        <v>133</v>
      </c>
      <c r="O385" s="2"/>
      <c r="P385" s="4">
        <v>1</v>
      </c>
      <c r="Q385" s="2" t="s">
        <v>2129</v>
      </c>
      <c r="R385" s="11">
        <f>SUBTOTAL(3,_xlfn.SINGLE(tbl_file[RowId]))</f>
        <v>1</v>
      </c>
    </row>
    <row r="386" spans="10:18">
      <c r="J386" s="4">
        <v>1501</v>
      </c>
      <c r="K386" s="21" t="str">
        <f>HYPERLINK("obsidian://open?vault=o2&amp;file=2024-09-30.md","2024-09-30")</f>
        <v>2024-09-30</v>
      </c>
      <c r="L386" s="20" t="s">
        <v>175</v>
      </c>
      <c r="M386" s="4"/>
      <c r="N386" s="2" t="s">
        <v>2606</v>
      </c>
      <c r="O386" s="2"/>
      <c r="P386" s="4">
        <v>1</v>
      </c>
      <c r="Q386" s="2" t="s">
        <v>2317</v>
      </c>
      <c r="R386" s="11">
        <f>SUBTOTAL(3,_xlfn.SINGLE(tbl_file[RowId]))</f>
        <v>1</v>
      </c>
    </row>
    <row r="387" spans="10:18">
      <c r="J387" s="4">
        <v>1502</v>
      </c>
      <c r="K387" s="21" t="str">
        <f>HYPERLINK("obsidian://open?vault=o2&amp;file=2024-09-30.md","2024-09-30")</f>
        <v>2024-09-30</v>
      </c>
      <c r="L387" s="20" t="s">
        <v>175</v>
      </c>
      <c r="M387" s="4"/>
      <c r="N387" s="2" t="s">
        <v>133</v>
      </c>
      <c r="O387" s="2"/>
      <c r="P387" s="4">
        <v>1</v>
      </c>
      <c r="Q387" s="2" t="s">
        <v>2129</v>
      </c>
      <c r="R387" s="11">
        <f>SUBTOTAL(3,_xlfn.SINGLE(tbl_file[RowId]))</f>
        <v>1</v>
      </c>
    </row>
    <row r="388" spans="10:18">
      <c r="J388" s="4">
        <v>1503</v>
      </c>
      <c r="K388" s="21" t="str">
        <f>HYPERLINK("obsidian://open?vault=o2&amp;file=2024-10-01.md","2024-10-01")</f>
        <v>2024-10-01</v>
      </c>
      <c r="L388" s="20" t="s">
        <v>175</v>
      </c>
      <c r="M388" s="4"/>
      <c r="N388" s="2" t="s">
        <v>2606</v>
      </c>
      <c r="O388" s="2"/>
      <c r="P388" s="4">
        <v>1</v>
      </c>
      <c r="Q388" s="2" t="s">
        <v>2317</v>
      </c>
      <c r="R388" s="11">
        <f>SUBTOTAL(3,_xlfn.SINGLE(tbl_file[RowId]))</f>
        <v>1</v>
      </c>
    </row>
    <row r="389" spans="10:18">
      <c r="J389" s="4">
        <v>1504</v>
      </c>
      <c r="K389" s="21" t="str">
        <f>HYPERLINK("obsidian://open?vault=o2&amp;file=2024-10-01.md","2024-10-01")</f>
        <v>2024-10-01</v>
      </c>
      <c r="L389" s="20" t="s">
        <v>175</v>
      </c>
      <c r="M389" s="4"/>
      <c r="N389" s="2" t="s">
        <v>133</v>
      </c>
      <c r="O389" s="2"/>
      <c r="P389" s="4">
        <v>1</v>
      </c>
      <c r="Q389" s="2" t="s">
        <v>2129</v>
      </c>
      <c r="R389" s="11">
        <f>SUBTOTAL(3,_xlfn.SINGLE(tbl_file[RowId]))</f>
        <v>1</v>
      </c>
    </row>
    <row r="390" spans="10:18">
      <c r="J390" s="4">
        <v>1505</v>
      </c>
      <c r="K390" s="21" t="str">
        <f>HYPERLINK("obsidian://open?vault=o2&amp;file=2024-10-02.md","2024-10-02")</f>
        <v>2024-10-02</v>
      </c>
      <c r="L390" s="20" t="s">
        <v>175</v>
      </c>
      <c r="M390" s="4"/>
      <c r="N390" s="2" t="s">
        <v>2606</v>
      </c>
      <c r="O390" s="2"/>
      <c r="P390" s="4">
        <v>1</v>
      </c>
      <c r="Q390" s="2" t="s">
        <v>2317</v>
      </c>
      <c r="R390" s="11">
        <f>SUBTOTAL(3,_xlfn.SINGLE(tbl_file[RowId]))</f>
        <v>1</v>
      </c>
    </row>
    <row r="391" spans="10:18">
      <c r="J391" s="4">
        <v>1506</v>
      </c>
      <c r="K391" s="21" t="str">
        <f>HYPERLINK("obsidian://open?vault=o2&amp;file=2024-10-02.md","2024-10-02")</f>
        <v>2024-10-02</v>
      </c>
      <c r="L391" s="20" t="s">
        <v>175</v>
      </c>
      <c r="M391" s="4"/>
      <c r="N391" s="2" t="s">
        <v>133</v>
      </c>
      <c r="O391" s="2"/>
      <c r="P391" s="4">
        <v>1</v>
      </c>
      <c r="Q391" s="2" t="s">
        <v>2131</v>
      </c>
      <c r="R391" s="11">
        <f>SUBTOTAL(3,_xlfn.SINGLE(tbl_file[RowId]))</f>
        <v>1</v>
      </c>
    </row>
    <row r="392" spans="10:18">
      <c r="J392" s="4">
        <v>1507</v>
      </c>
      <c r="K392" s="21" t="str">
        <f>HYPERLINK("obsidian://open?vault=o2&amp;file=2024-10-03.md","2024-10-03")</f>
        <v>2024-10-03</v>
      </c>
      <c r="L392" s="20" t="s">
        <v>175</v>
      </c>
      <c r="M392" s="4"/>
      <c r="N392" s="2" t="s">
        <v>2606</v>
      </c>
      <c r="O392" s="2"/>
      <c r="P392" s="4">
        <v>1</v>
      </c>
      <c r="Q392" s="2" t="s">
        <v>2317</v>
      </c>
      <c r="R392" s="11">
        <f>SUBTOTAL(3,_xlfn.SINGLE(tbl_file[RowId]))</f>
        <v>1</v>
      </c>
    </row>
    <row r="393" spans="10:18">
      <c r="J393" s="4">
        <v>1508</v>
      </c>
      <c r="K393" s="21" t="str">
        <f>HYPERLINK("obsidian://open?vault=o2&amp;file=2024-10-03.md","2024-10-03")</f>
        <v>2024-10-03</v>
      </c>
      <c r="L393" s="20" t="s">
        <v>175</v>
      </c>
      <c r="M393" s="4"/>
      <c r="N393" s="2" t="s">
        <v>133</v>
      </c>
      <c r="O393" s="2"/>
      <c r="P393" s="4">
        <v>1</v>
      </c>
      <c r="Q393" s="2" t="s">
        <v>2131</v>
      </c>
      <c r="R393" s="11">
        <f>SUBTOTAL(3,_xlfn.SINGLE(tbl_file[RowId]))</f>
        <v>1</v>
      </c>
    </row>
    <row r="394" spans="10:18">
      <c r="J394" s="4">
        <v>1509</v>
      </c>
      <c r="K394" s="21" t="str">
        <f>HYPERLINK("obsidian://open?vault=o2&amp;file=2024-10-04.md","2024-10-04")</f>
        <v>2024-10-04</v>
      </c>
      <c r="L394" s="20" t="s">
        <v>175</v>
      </c>
      <c r="M394" s="4"/>
      <c r="N394" s="2" t="s">
        <v>2606</v>
      </c>
      <c r="O394" s="2"/>
      <c r="P394" s="4">
        <v>1</v>
      </c>
      <c r="Q394" s="2" t="s">
        <v>2317</v>
      </c>
      <c r="R394" s="11">
        <f>SUBTOTAL(3,_xlfn.SINGLE(tbl_file[RowId]))</f>
        <v>1</v>
      </c>
    </row>
    <row r="395" spans="10:18">
      <c r="J395" s="4">
        <v>1510</v>
      </c>
      <c r="K395" s="21" t="str">
        <f>HYPERLINK("obsidian://open?vault=o2&amp;file=2024-10-04.md","2024-10-04")</f>
        <v>2024-10-04</v>
      </c>
      <c r="L395" s="20" t="s">
        <v>175</v>
      </c>
      <c r="M395" s="4"/>
      <c r="N395" s="2" t="s">
        <v>133</v>
      </c>
      <c r="O395" s="2"/>
      <c r="P395" s="4">
        <v>1</v>
      </c>
      <c r="Q395" s="2" t="s">
        <v>2131</v>
      </c>
      <c r="R395" s="11">
        <f>SUBTOTAL(3,_xlfn.SINGLE(tbl_file[RowId]))</f>
        <v>1</v>
      </c>
    </row>
    <row r="396" spans="10:18">
      <c r="J396" s="4">
        <v>1511</v>
      </c>
      <c r="K396" s="21" t="str">
        <f>HYPERLINK("obsidian://open?vault=o2&amp;file=2024-10-05.md","2024-10-05")</f>
        <v>2024-10-05</v>
      </c>
      <c r="L396" s="20" t="s">
        <v>175</v>
      </c>
      <c r="M396" s="4"/>
      <c r="N396" s="2" t="s">
        <v>2606</v>
      </c>
      <c r="O396" s="2"/>
      <c r="P396" s="4">
        <v>1</v>
      </c>
      <c r="Q396" s="2" t="s">
        <v>2317</v>
      </c>
      <c r="R396" s="11">
        <f>SUBTOTAL(3,_xlfn.SINGLE(tbl_file[RowId]))</f>
        <v>1</v>
      </c>
    </row>
    <row r="397" spans="10:18">
      <c r="J397" s="4">
        <v>1512</v>
      </c>
      <c r="K397" s="21" t="str">
        <f>HYPERLINK("obsidian://open?vault=o2&amp;file=2024-10-05.md","2024-10-05")</f>
        <v>2024-10-05</v>
      </c>
      <c r="L397" s="20" t="s">
        <v>175</v>
      </c>
      <c r="M397" s="4"/>
      <c r="N397" s="2" t="s">
        <v>133</v>
      </c>
      <c r="O397" s="2"/>
      <c r="P397" s="4">
        <v>1</v>
      </c>
      <c r="Q397" s="2" t="s">
        <v>2131</v>
      </c>
      <c r="R397" s="11">
        <f>SUBTOTAL(3,_xlfn.SINGLE(tbl_file[RowId]))</f>
        <v>1</v>
      </c>
    </row>
    <row r="398" spans="10:18">
      <c r="J398" s="4">
        <v>1513</v>
      </c>
      <c r="K398" s="21" t="str">
        <f>HYPERLINK("obsidian://open?vault=o2&amp;file=2024-10-06.md","2024-10-06")</f>
        <v>2024-10-06</v>
      </c>
      <c r="L398" s="20" t="s">
        <v>175</v>
      </c>
      <c r="M398" s="4"/>
      <c r="N398" s="2" t="s">
        <v>2606</v>
      </c>
      <c r="O398" s="2"/>
      <c r="P398" s="4">
        <v>1</v>
      </c>
      <c r="Q398" s="2" t="s">
        <v>2317</v>
      </c>
      <c r="R398" s="11">
        <f>SUBTOTAL(3,_xlfn.SINGLE(tbl_file[RowId]))</f>
        <v>1</v>
      </c>
    </row>
    <row r="399" spans="10:18">
      <c r="J399" s="4">
        <v>1514</v>
      </c>
      <c r="K399" s="21" t="str">
        <f>HYPERLINK("obsidian://open?vault=o2&amp;file=2024-10-06.md","2024-10-06")</f>
        <v>2024-10-06</v>
      </c>
      <c r="L399" s="20" t="s">
        <v>175</v>
      </c>
      <c r="M399" s="4"/>
      <c r="N399" s="2" t="s">
        <v>133</v>
      </c>
      <c r="O399" s="2"/>
      <c r="P399" s="4">
        <v>1</v>
      </c>
      <c r="Q399" s="2" t="s">
        <v>2131</v>
      </c>
      <c r="R399" s="11">
        <f>SUBTOTAL(3,_xlfn.SINGLE(tbl_file[RowId]))</f>
        <v>1</v>
      </c>
    </row>
    <row r="400" spans="10:18">
      <c r="J400" s="4">
        <v>1515</v>
      </c>
      <c r="K400" s="21" t="str">
        <f>HYPERLINK("obsidian://open?vault=o2&amp;file=2024-10-07.md","2024-10-07")</f>
        <v>2024-10-07</v>
      </c>
      <c r="L400" s="20" t="s">
        <v>175</v>
      </c>
      <c r="M400" s="4"/>
      <c r="N400" s="2" t="s">
        <v>2606</v>
      </c>
      <c r="O400" s="2"/>
      <c r="P400" s="4">
        <v>1</v>
      </c>
      <c r="Q400" s="2" t="s">
        <v>2317</v>
      </c>
      <c r="R400" s="11">
        <f>SUBTOTAL(3,_xlfn.SINGLE(tbl_file[RowId]))</f>
        <v>1</v>
      </c>
    </row>
    <row r="401" spans="10:18">
      <c r="J401" s="4">
        <v>1516</v>
      </c>
      <c r="K401" s="21" t="str">
        <f>HYPERLINK("obsidian://open?vault=o2&amp;file=2024-10-07.md","2024-10-07")</f>
        <v>2024-10-07</v>
      </c>
      <c r="L401" s="20" t="s">
        <v>175</v>
      </c>
      <c r="M401" s="4"/>
      <c r="N401" s="2" t="s">
        <v>133</v>
      </c>
      <c r="O401" s="2"/>
      <c r="P401" s="4">
        <v>1</v>
      </c>
      <c r="Q401" s="2" t="s">
        <v>2131</v>
      </c>
      <c r="R401" s="11">
        <f>SUBTOTAL(3,_xlfn.SINGLE(tbl_file[RowId]))</f>
        <v>1</v>
      </c>
    </row>
    <row r="402" spans="10:18">
      <c r="J402" s="4">
        <v>1517</v>
      </c>
      <c r="K402" s="21" t="str">
        <f>HYPERLINK("obsidian://open?vault=o2&amp;file=2024-10-09.md","2024-10-09")</f>
        <v>2024-10-09</v>
      </c>
      <c r="L402" s="20" t="s">
        <v>175</v>
      </c>
      <c r="M402" s="4"/>
      <c r="N402" s="2" t="s">
        <v>2606</v>
      </c>
      <c r="O402" s="2"/>
      <c r="P402" s="4">
        <v>1</v>
      </c>
      <c r="Q402" s="2" t="s">
        <v>2317</v>
      </c>
      <c r="R402" s="11">
        <f>SUBTOTAL(3,_xlfn.SINGLE(tbl_file[RowId]))</f>
        <v>1</v>
      </c>
    </row>
    <row r="403" spans="10:18">
      <c r="J403" s="4">
        <v>1518</v>
      </c>
      <c r="K403" s="21" t="str">
        <f>HYPERLINK("obsidian://open?vault=o2&amp;file=2024-10-09.md","2024-10-09")</f>
        <v>2024-10-09</v>
      </c>
      <c r="L403" s="20" t="s">
        <v>175</v>
      </c>
      <c r="M403" s="4"/>
      <c r="N403" s="2" t="s">
        <v>133</v>
      </c>
      <c r="O403" s="2"/>
      <c r="P403" s="4">
        <v>1</v>
      </c>
      <c r="Q403" s="2" t="s">
        <v>2131</v>
      </c>
      <c r="R403" s="11">
        <f>SUBTOTAL(3,_xlfn.SINGLE(tbl_file[RowId]))</f>
        <v>1</v>
      </c>
    </row>
    <row r="404" spans="10:18">
      <c r="J404" s="4">
        <v>1519</v>
      </c>
      <c r="K404" s="21" t="str">
        <f>HYPERLINK("obsidian://open?vault=o2&amp;file=2024-10-10.md","2024-10-10")</f>
        <v>2024-10-10</v>
      </c>
      <c r="L404" s="20" t="s">
        <v>175</v>
      </c>
      <c r="M404" s="4"/>
      <c r="N404" s="2" t="s">
        <v>2606</v>
      </c>
      <c r="O404" s="2"/>
      <c r="P404" s="4">
        <v>1</v>
      </c>
      <c r="Q404" s="2" t="s">
        <v>2317</v>
      </c>
      <c r="R404" s="11">
        <f>SUBTOTAL(3,_xlfn.SINGLE(tbl_file[RowId]))</f>
        <v>1</v>
      </c>
    </row>
    <row r="405" spans="10:18">
      <c r="J405" s="4">
        <v>1520</v>
      </c>
      <c r="K405" s="21" t="str">
        <f>HYPERLINK("obsidian://open?vault=o2&amp;file=2024-10-10.md","2024-10-10")</f>
        <v>2024-10-10</v>
      </c>
      <c r="L405" s="20" t="s">
        <v>175</v>
      </c>
      <c r="M405" s="4"/>
      <c r="N405" s="2" t="s">
        <v>133</v>
      </c>
      <c r="O405" s="2"/>
      <c r="P405" s="4">
        <v>1</v>
      </c>
      <c r="Q405" s="2" t="s">
        <v>2131</v>
      </c>
      <c r="R405" s="11">
        <f>SUBTOTAL(3,_xlfn.SINGLE(tbl_file[RowId]))</f>
        <v>1</v>
      </c>
    </row>
    <row r="406" spans="10:18">
      <c r="J406" s="4">
        <v>1521</v>
      </c>
      <c r="K406" s="21" t="str">
        <f>HYPERLINK("obsidian://open?vault=o2&amp;file=2024-10-12.md","2024-10-12")</f>
        <v>2024-10-12</v>
      </c>
      <c r="L406" s="20" t="s">
        <v>175</v>
      </c>
      <c r="M406" s="4"/>
      <c r="N406" s="2" t="s">
        <v>2606</v>
      </c>
      <c r="O406" s="2"/>
      <c r="P406" s="4">
        <v>1</v>
      </c>
      <c r="Q406" s="2" t="s">
        <v>2317</v>
      </c>
      <c r="R406" s="11">
        <f>SUBTOTAL(3,_xlfn.SINGLE(tbl_file[RowId]))</f>
        <v>1</v>
      </c>
    </row>
    <row r="407" spans="10:18">
      <c r="J407" s="4">
        <v>1522</v>
      </c>
      <c r="K407" s="21" t="str">
        <f>HYPERLINK("obsidian://open?vault=o2&amp;file=2024-10-12.md","2024-10-12")</f>
        <v>2024-10-12</v>
      </c>
      <c r="L407" s="20" t="s">
        <v>175</v>
      </c>
      <c r="M407" s="4"/>
      <c r="N407" s="2" t="s">
        <v>133</v>
      </c>
      <c r="O407" s="2"/>
      <c r="P407" s="4">
        <v>1</v>
      </c>
      <c r="Q407" s="2" t="s">
        <v>2131</v>
      </c>
      <c r="R407" s="11">
        <f>SUBTOTAL(3,_xlfn.SINGLE(tbl_file[RowId]))</f>
        <v>1</v>
      </c>
    </row>
    <row r="408" spans="10:18">
      <c r="J408" s="4">
        <v>1523</v>
      </c>
      <c r="K408" s="21" t="str">
        <f>HYPERLINK("obsidian://open?vault=o2&amp;file=2024-10-13.md","2024-10-13")</f>
        <v>2024-10-13</v>
      </c>
      <c r="L408" s="20" t="s">
        <v>175</v>
      </c>
      <c r="M408" s="4"/>
      <c r="N408" s="2" t="s">
        <v>2606</v>
      </c>
      <c r="O408" s="2"/>
      <c r="P408" s="4">
        <v>1</v>
      </c>
      <c r="Q408" s="2" t="s">
        <v>2317</v>
      </c>
      <c r="R408" s="11">
        <f>SUBTOTAL(3,_xlfn.SINGLE(tbl_file[RowId]))</f>
        <v>1</v>
      </c>
    </row>
    <row r="409" spans="10:18">
      <c r="J409" s="4">
        <v>1524</v>
      </c>
      <c r="K409" s="21" t="str">
        <f>HYPERLINK("obsidian://open?vault=o2&amp;file=2024-10-13.md","2024-10-13")</f>
        <v>2024-10-13</v>
      </c>
      <c r="L409" s="20" t="s">
        <v>175</v>
      </c>
      <c r="M409" s="4"/>
      <c r="N409" s="2" t="s">
        <v>133</v>
      </c>
      <c r="O409" s="2"/>
      <c r="P409" s="4">
        <v>1</v>
      </c>
      <c r="Q409" s="2" t="s">
        <v>2131</v>
      </c>
      <c r="R409" s="11">
        <f>SUBTOTAL(3,_xlfn.SINGLE(tbl_file[RowId]))</f>
        <v>1</v>
      </c>
    </row>
    <row r="410" spans="10:18">
      <c r="J410" s="4">
        <v>1525</v>
      </c>
      <c r="K410" s="21" t="str">
        <f>HYPERLINK("obsidian://open?vault=o2&amp;file=2024-10-14.md","2024-10-14")</f>
        <v>2024-10-14</v>
      </c>
      <c r="L410" s="20" t="s">
        <v>175</v>
      </c>
      <c r="M410" s="4"/>
      <c r="N410" s="2" t="s">
        <v>2606</v>
      </c>
      <c r="O410" s="2"/>
      <c r="P410" s="4">
        <v>1</v>
      </c>
      <c r="Q410" s="2" t="s">
        <v>2317</v>
      </c>
      <c r="R410" s="11">
        <f>SUBTOTAL(3,_xlfn.SINGLE(tbl_file[RowId]))</f>
        <v>1</v>
      </c>
    </row>
    <row r="411" spans="10:18">
      <c r="J411" s="4">
        <v>1526</v>
      </c>
      <c r="K411" s="21" t="str">
        <f>HYPERLINK("obsidian://open?vault=o2&amp;file=2024-10-14.md","2024-10-14")</f>
        <v>2024-10-14</v>
      </c>
      <c r="L411" s="20" t="s">
        <v>175</v>
      </c>
      <c r="M411" s="4"/>
      <c r="N411" s="2" t="s">
        <v>133</v>
      </c>
      <c r="O411" s="2"/>
      <c r="P411" s="4">
        <v>1</v>
      </c>
      <c r="Q411" s="2" t="s">
        <v>2131</v>
      </c>
      <c r="R411" s="11">
        <f>SUBTOTAL(3,_xlfn.SINGLE(tbl_file[RowId]))</f>
        <v>1</v>
      </c>
    </row>
    <row r="412" spans="10:18">
      <c r="J412" s="4">
        <v>1527</v>
      </c>
      <c r="K412" s="21" t="str">
        <f>HYPERLINK("obsidian://open?vault=o2&amp;file=2024-10-18.md","2024-10-18")</f>
        <v>2024-10-18</v>
      </c>
      <c r="L412" s="20" t="s">
        <v>175</v>
      </c>
      <c r="M412" s="4"/>
      <c r="N412" s="2" t="s">
        <v>2606</v>
      </c>
      <c r="O412" s="2"/>
      <c r="P412" s="4">
        <v>1</v>
      </c>
      <c r="Q412" s="2" t="s">
        <v>2317</v>
      </c>
      <c r="R412" s="11">
        <f>SUBTOTAL(3,_xlfn.SINGLE(tbl_file[RowId]))</f>
        <v>1</v>
      </c>
    </row>
    <row r="413" spans="10:18">
      <c r="J413" s="4">
        <v>1528</v>
      </c>
      <c r="K413" s="21" t="str">
        <f>HYPERLINK("obsidian://open?vault=o2&amp;file=2024-10-18.md","2024-10-18")</f>
        <v>2024-10-18</v>
      </c>
      <c r="L413" s="20" t="s">
        <v>175</v>
      </c>
      <c r="M413" s="4"/>
      <c r="N413" s="2" t="s">
        <v>133</v>
      </c>
      <c r="O413" s="2"/>
      <c r="P413" s="4">
        <v>1</v>
      </c>
      <c r="Q413" s="2" t="s">
        <v>2131</v>
      </c>
      <c r="R413" s="11">
        <f>SUBTOTAL(3,_xlfn.SINGLE(tbl_file[RowId]))</f>
        <v>1</v>
      </c>
    </row>
    <row r="414" spans="10:18">
      <c r="J414" s="4">
        <v>1529</v>
      </c>
      <c r="K414" s="21" t="str">
        <f>HYPERLINK("obsidian://open?vault=o2&amp;file=2024-10-21.md","2024-10-21")</f>
        <v>2024-10-21</v>
      </c>
      <c r="L414" s="20" t="s">
        <v>175</v>
      </c>
      <c r="M414" s="4"/>
      <c r="N414" s="2" t="s">
        <v>2606</v>
      </c>
      <c r="O414" s="2"/>
      <c r="P414" s="4">
        <v>1</v>
      </c>
      <c r="Q414" s="2" t="s">
        <v>2317</v>
      </c>
      <c r="R414" s="11">
        <f>SUBTOTAL(3,_xlfn.SINGLE(tbl_file[RowId]))</f>
        <v>1</v>
      </c>
    </row>
    <row r="415" spans="10:18">
      <c r="J415" s="4">
        <v>1530</v>
      </c>
      <c r="K415" s="21" t="str">
        <f>HYPERLINK("obsidian://open?vault=o2&amp;file=2024-10-21.md","2024-10-21")</f>
        <v>2024-10-21</v>
      </c>
      <c r="L415" s="20" t="s">
        <v>175</v>
      </c>
      <c r="M415" s="4"/>
      <c r="N415" s="2" t="s">
        <v>133</v>
      </c>
      <c r="O415" s="2"/>
      <c r="P415" s="4">
        <v>1</v>
      </c>
      <c r="Q415" s="2" t="s">
        <v>2131</v>
      </c>
      <c r="R415" s="11">
        <f>SUBTOTAL(3,_xlfn.SINGLE(tbl_file[RowId]))</f>
        <v>1</v>
      </c>
    </row>
    <row r="416" spans="10:18">
      <c r="J416" s="4">
        <v>1531</v>
      </c>
      <c r="K416" s="21" t="str">
        <f>HYPERLINK("obsidian://open?vault=o2&amp;file=2024-10-24.md","2024-10-24")</f>
        <v>2024-10-24</v>
      </c>
      <c r="L416" s="20" t="s">
        <v>175</v>
      </c>
      <c r="M416" s="4"/>
      <c r="N416" s="2" t="s">
        <v>2606</v>
      </c>
      <c r="O416" s="2"/>
      <c r="P416" s="4">
        <v>1</v>
      </c>
      <c r="Q416" s="2" t="s">
        <v>2317</v>
      </c>
      <c r="R416" s="11">
        <f>SUBTOTAL(3,_xlfn.SINGLE(tbl_file[RowId]))</f>
        <v>1</v>
      </c>
    </row>
    <row r="417" spans="10:18">
      <c r="J417" s="4">
        <v>1532</v>
      </c>
      <c r="K417" s="21" t="str">
        <f>HYPERLINK("obsidian://open?vault=o2&amp;file=2024-10-24.md","2024-10-24")</f>
        <v>2024-10-24</v>
      </c>
      <c r="L417" s="20" t="s">
        <v>175</v>
      </c>
      <c r="M417" s="4"/>
      <c r="N417" s="2" t="s">
        <v>133</v>
      </c>
      <c r="O417" s="2"/>
      <c r="P417" s="4">
        <v>1</v>
      </c>
      <c r="Q417" s="2" t="s">
        <v>2131</v>
      </c>
      <c r="R417" s="11">
        <f>SUBTOTAL(3,_xlfn.SINGLE(tbl_file[RowId]))</f>
        <v>1</v>
      </c>
    </row>
    <row r="418" spans="10:18">
      <c r="J418" s="4">
        <v>1533</v>
      </c>
      <c r="K418" s="21" t="str">
        <f>HYPERLINK("obsidian://open?vault=o2&amp;file=2024-10-25.md","2024-10-25")</f>
        <v>2024-10-25</v>
      </c>
      <c r="L418" s="20" t="s">
        <v>175</v>
      </c>
      <c r="M418" s="4"/>
      <c r="N418" s="2" t="s">
        <v>2606</v>
      </c>
      <c r="O418" s="2"/>
      <c r="P418" s="4">
        <v>1</v>
      </c>
      <c r="Q418" s="2" t="s">
        <v>2317</v>
      </c>
      <c r="R418" s="11">
        <f>SUBTOTAL(3,_xlfn.SINGLE(tbl_file[RowId]))</f>
        <v>1</v>
      </c>
    </row>
    <row r="419" spans="10:18">
      <c r="J419" s="4">
        <v>1534</v>
      </c>
      <c r="K419" s="21" t="str">
        <f>HYPERLINK("obsidian://open?vault=o2&amp;file=2024-10-25.md","2024-10-25")</f>
        <v>2024-10-25</v>
      </c>
      <c r="L419" s="20" t="s">
        <v>175</v>
      </c>
      <c r="M419" s="4"/>
      <c r="N419" s="2" t="s">
        <v>133</v>
      </c>
      <c r="O419" s="2"/>
      <c r="P419" s="4">
        <v>1</v>
      </c>
      <c r="Q419" s="2" t="s">
        <v>2109</v>
      </c>
      <c r="R419" s="11">
        <f>SUBTOTAL(3,_xlfn.SINGLE(tbl_file[RowId]))</f>
        <v>1</v>
      </c>
    </row>
    <row r="420" spans="10:18">
      <c r="J420" s="4">
        <v>1535</v>
      </c>
      <c r="K420" s="21" t="str">
        <f>HYPERLINK("obsidian://open?vault=o2&amp;file=2024-10-28.md","2024-10-28")</f>
        <v>2024-10-28</v>
      </c>
      <c r="L420" s="20" t="s">
        <v>175</v>
      </c>
      <c r="M420" s="4"/>
      <c r="N420" s="2" t="s">
        <v>2606</v>
      </c>
      <c r="O420" s="2"/>
      <c r="P420" s="4">
        <v>1</v>
      </c>
      <c r="Q420" s="2" t="s">
        <v>2317</v>
      </c>
      <c r="R420" s="11">
        <f>SUBTOTAL(3,_xlfn.SINGLE(tbl_file[RowId]))</f>
        <v>1</v>
      </c>
    </row>
    <row r="421" spans="10:18">
      <c r="J421" s="4">
        <v>1536</v>
      </c>
      <c r="K421" s="21" t="str">
        <f>HYPERLINK("obsidian://open?vault=o2&amp;file=2024-10-28.md","2024-10-28")</f>
        <v>2024-10-28</v>
      </c>
      <c r="L421" s="20" t="s">
        <v>175</v>
      </c>
      <c r="M421" s="4"/>
      <c r="N421" s="2" t="s">
        <v>133</v>
      </c>
      <c r="O421" s="2"/>
      <c r="P421" s="4">
        <v>1</v>
      </c>
      <c r="Q421" s="2" t="s">
        <v>2109</v>
      </c>
      <c r="R421" s="11">
        <f>SUBTOTAL(3,_xlfn.SINGLE(tbl_file[RowId]))</f>
        <v>1</v>
      </c>
    </row>
    <row r="422" spans="10:18">
      <c r="J422" s="4">
        <v>1537</v>
      </c>
      <c r="K422" s="21" t="str">
        <f>HYPERLINK("obsidian://open?vault=o2&amp;file=2024-10-30.md","2024-10-30")</f>
        <v>2024-10-30</v>
      </c>
      <c r="L422" s="20" t="s">
        <v>175</v>
      </c>
      <c r="M422" s="4"/>
      <c r="N422" s="2" t="s">
        <v>2606</v>
      </c>
      <c r="O422" s="2"/>
      <c r="P422" s="4">
        <v>1</v>
      </c>
      <c r="Q422" s="2" t="s">
        <v>2317</v>
      </c>
      <c r="R422" s="11">
        <f>SUBTOTAL(3,_xlfn.SINGLE(tbl_file[RowId]))</f>
        <v>1</v>
      </c>
    </row>
    <row r="423" spans="10:18">
      <c r="J423" s="4">
        <v>1538</v>
      </c>
      <c r="K423" s="21" t="str">
        <f>HYPERLINK("obsidian://open?vault=o2&amp;file=2024-10-30.md","2024-10-30")</f>
        <v>2024-10-30</v>
      </c>
      <c r="L423" s="20" t="s">
        <v>175</v>
      </c>
      <c r="M423" s="4"/>
      <c r="N423" s="2" t="s">
        <v>133</v>
      </c>
      <c r="O423" s="2"/>
      <c r="P423" s="4">
        <v>1</v>
      </c>
      <c r="Q423" s="2" t="s">
        <v>2109</v>
      </c>
      <c r="R423" s="11">
        <f>SUBTOTAL(3,_xlfn.SINGLE(tbl_file[RowId]))</f>
        <v>1</v>
      </c>
    </row>
    <row r="424" spans="10:18">
      <c r="J424" s="4">
        <v>1539</v>
      </c>
      <c r="K424" s="21" t="str">
        <f>HYPERLINK("obsidian://open?vault=o2&amp;file=2024-11-02.md","2024-11-02")</f>
        <v>2024-11-02</v>
      </c>
      <c r="L424" s="20" t="s">
        <v>175</v>
      </c>
      <c r="M424" s="4"/>
      <c r="N424" s="2" t="s">
        <v>2606</v>
      </c>
      <c r="O424" s="2"/>
      <c r="P424" s="4">
        <v>1</v>
      </c>
      <c r="Q424" s="2" t="s">
        <v>2317</v>
      </c>
      <c r="R424" s="11">
        <f>SUBTOTAL(3,_xlfn.SINGLE(tbl_file[RowId]))</f>
        <v>1</v>
      </c>
    </row>
    <row r="425" spans="10:18">
      <c r="J425" s="4">
        <v>1540</v>
      </c>
      <c r="K425" s="21" t="str">
        <f>HYPERLINK("obsidian://open?vault=o2&amp;file=2024-11-02.md","2024-11-02")</f>
        <v>2024-11-02</v>
      </c>
      <c r="L425" s="20" t="s">
        <v>175</v>
      </c>
      <c r="M425" s="4"/>
      <c r="N425" s="2" t="s">
        <v>133</v>
      </c>
      <c r="O425" s="2"/>
      <c r="P425" s="4">
        <v>1</v>
      </c>
      <c r="Q425" s="2" t="s">
        <v>2109</v>
      </c>
      <c r="R425" s="11">
        <f>SUBTOTAL(3,_xlfn.SINGLE(tbl_file[RowId]))</f>
        <v>1</v>
      </c>
    </row>
    <row r="426" spans="10:18">
      <c r="J426" s="4">
        <v>1541</v>
      </c>
      <c r="K426" s="21" t="str">
        <f>HYPERLINK("obsidian://open?vault=o2&amp;file=2024-11-03.md","2024-11-03")</f>
        <v>2024-11-03</v>
      </c>
      <c r="L426" s="20" t="s">
        <v>175</v>
      </c>
      <c r="M426" s="4"/>
      <c r="N426" s="2" t="s">
        <v>2606</v>
      </c>
      <c r="O426" s="2"/>
      <c r="P426" s="4">
        <v>1</v>
      </c>
      <c r="Q426" s="2" t="s">
        <v>2317</v>
      </c>
      <c r="R426" s="11">
        <f>SUBTOTAL(3,_xlfn.SINGLE(tbl_file[RowId]))</f>
        <v>1</v>
      </c>
    </row>
    <row r="427" spans="10:18">
      <c r="J427" s="4">
        <v>1542</v>
      </c>
      <c r="K427" s="21" t="str">
        <f>HYPERLINK("obsidian://open?vault=o2&amp;file=2024-11-03.md","2024-11-03")</f>
        <v>2024-11-03</v>
      </c>
      <c r="L427" s="20" t="s">
        <v>175</v>
      </c>
      <c r="M427" s="4"/>
      <c r="N427" s="2" t="s">
        <v>133</v>
      </c>
      <c r="O427" s="2"/>
      <c r="P427" s="4">
        <v>1</v>
      </c>
      <c r="Q427" s="2" t="s">
        <v>2109</v>
      </c>
      <c r="R427" s="11">
        <f>SUBTOTAL(3,_xlfn.SINGLE(tbl_file[RowId]))</f>
        <v>1</v>
      </c>
    </row>
    <row r="428" spans="10:18">
      <c r="J428" s="4">
        <v>1543</v>
      </c>
      <c r="K428" s="21" t="str">
        <f>HYPERLINK("obsidian://open?vault=o2&amp;file=2024-11-05.md","2024-11-05")</f>
        <v>2024-11-05</v>
      </c>
      <c r="L428" s="20" t="s">
        <v>175</v>
      </c>
      <c r="M428" s="4"/>
      <c r="N428" s="2" t="s">
        <v>2606</v>
      </c>
      <c r="O428" s="2"/>
      <c r="P428" s="4">
        <v>1</v>
      </c>
      <c r="Q428" s="2" t="s">
        <v>2317</v>
      </c>
      <c r="R428" s="11">
        <f>SUBTOTAL(3,_xlfn.SINGLE(tbl_file[RowId]))</f>
        <v>1</v>
      </c>
    </row>
    <row r="429" spans="10:18">
      <c r="J429" s="4">
        <v>1544</v>
      </c>
      <c r="K429" s="21" t="str">
        <f>HYPERLINK("obsidian://open?vault=o2&amp;file=2024-11-05.md","2024-11-05")</f>
        <v>2024-11-05</v>
      </c>
      <c r="L429" s="20" t="s">
        <v>175</v>
      </c>
      <c r="M429" s="4"/>
      <c r="N429" s="2" t="s">
        <v>133</v>
      </c>
      <c r="O429" s="2"/>
      <c r="P429" s="4">
        <v>1</v>
      </c>
      <c r="Q429" s="2" t="s">
        <v>2109</v>
      </c>
      <c r="R429" s="11">
        <f>SUBTOTAL(3,_xlfn.SINGLE(tbl_file[RowId]))</f>
        <v>1</v>
      </c>
    </row>
    <row r="430" spans="10:18">
      <c r="J430" s="4">
        <v>1545</v>
      </c>
      <c r="K430" s="21" t="str">
        <f>HYPERLINK("obsidian://open?vault=o2&amp;file=2024-11-06.md","2024-11-06")</f>
        <v>2024-11-06</v>
      </c>
      <c r="L430" s="20" t="s">
        <v>175</v>
      </c>
      <c r="M430" s="4"/>
      <c r="N430" s="2" t="s">
        <v>2606</v>
      </c>
      <c r="O430" s="2"/>
      <c r="P430" s="4">
        <v>1</v>
      </c>
      <c r="Q430" s="2" t="s">
        <v>2317</v>
      </c>
      <c r="R430" s="11">
        <f>SUBTOTAL(3,_xlfn.SINGLE(tbl_file[RowId]))</f>
        <v>1</v>
      </c>
    </row>
    <row r="431" spans="10:18">
      <c r="J431" s="4">
        <v>1546</v>
      </c>
      <c r="K431" s="21" t="str">
        <f>HYPERLINK("obsidian://open?vault=o2&amp;file=2024-11-06.md","2024-11-06")</f>
        <v>2024-11-06</v>
      </c>
      <c r="L431" s="20" t="s">
        <v>175</v>
      </c>
      <c r="M431" s="4"/>
      <c r="N431" s="2" t="s">
        <v>133</v>
      </c>
      <c r="O431" s="2"/>
      <c r="P431" s="4">
        <v>1</v>
      </c>
      <c r="Q431" s="2" t="s">
        <v>2109</v>
      </c>
      <c r="R431" s="11">
        <f>SUBTOTAL(3,_xlfn.SINGLE(tbl_file[RowId]))</f>
        <v>1</v>
      </c>
    </row>
    <row r="432" spans="10:18">
      <c r="J432" s="4">
        <v>1547</v>
      </c>
      <c r="K432" s="21" t="str">
        <f>HYPERLINK("obsidian://open?vault=o2&amp;file=2024-11-07.md","2024-11-07")</f>
        <v>2024-11-07</v>
      </c>
      <c r="L432" s="20" t="s">
        <v>175</v>
      </c>
      <c r="M432" s="4"/>
      <c r="N432" s="2" t="s">
        <v>2606</v>
      </c>
      <c r="O432" s="2"/>
      <c r="P432" s="4">
        <v>1</v>
      </c>
      <c r="Q432" s="2" t="s">
        <v>2317</v>
      </c>
      <c r="R432" s="11">
        <f>SUBTOTAL(3,_xlfn.SINGLE(tbl_file[RowId]))</f>
        <v>1</v>
      </c>
    </row>
    <row r="433" spans="10:18">
      <c r="J433" s="4">
        <v>1548</v>
      </c>
      <c r="K433" s="21" t="str">
        <f>HYPERLINK("obsidian://open?vault=o2&amp;file=2024-11-07.md","2024-11-07")</f>
        <v>2024-11-07</v>
      </c>
      <c r="L433" s="20" t="s">
        <v>175</v>
      </c>
      <c r="M433" s="4"/>
      <c r="N433" s="2" t="s">
        <v>133</v>
      </c>
      <c r="O433" s="2"/>
      <c r="P433" s="4">
        <v>1</v>
      </c>
      <c r="Q433" s="2" t="s">
        <v>2109</v>
      </c>
      <c r="R433" s="11">
        <f>SUBTOTAL(3,_xlfn.SINGLE(tbl_file[RowId]))</f>
        <v>1</v>
      </c>
    </row>
    <row r="434" spans="10:18">
      <c r="J434" s="4">
        <v>1549</v>
      </c>
      <c r="K434" s="21" t="str">
        <f>HYPERLINK("obsidian://open?vault=o2&amp;file=2024-11-10.md","2024-11-10")</f>
        <v>2024-11-10</v>
      </c>
      <c r="L434" s="20" t="s">
        <v>175</v>
      </c>
      <c r="M434" s="4"/>
      <c r="N434" s="2" t="s">
        <v>2606</v>
      </c>
      <c r="O434" s="2"/>
      <c r="P434" s="4">
        <v>1</v>
      </c>
      <c r="Q434" s="2" t="s">
        <v>2317</v>
      </c>
      <c r="R434" s="11">
        <f>SUBTOTAL(3,_xlfn.SINGLE(tbl_file[RowId]))</f>
        <v>1</v>
      </c>
    </row>
    <row r="435" spans="10:18">
      <c r="J435" s="4">
        <v>1550</v>
      </c>
      <c r="K435" s="21" t="str">
        <f>HYPERLINK("obsidian://open?vault=o2&amp;file=2024-11-10.md","2024-11-10")</f>
        <v>2024-11-10</v>
      </c>
      <c r="L435" s="20" t="s">
        <v>175</v>
      </c>
      <c r="M435" s="4"/>
      <c r="N435" s="2" t="s">
        <v>133</v>
      </c>
      <c r="O435" s="2"/>
      <c r="P435" s="4">
        <v>1</v>
      </c>
      <c r="Q435" s="2" t="s">
        <v>2109</v>
      </c>
      <c r="R435" s="11">
        <f>SUBTOTAL(3,_xlfn.SINGLE(tbl_file[RowId]))</f>
        <v>1</v>
      </c>
    </row>
    <row r="436" spans="10:18">
      <c r="J436" s="4">
        <v>1551</v>
      </c>
      <c r="K436" s="21" t="str">
        <f>HYPERLINK("obsidian://open?vault=o2&amp;file=2024-11-11.md","2024-11-11")</f>
        <v>2024-11-11</v>
      </c>
      <c r="L436" s="20" t="s">
        <v>175</v>
      </c>
      <c r="M436" s="4"/>
      <c r="N436" s="2" t="s">
        <v>2606</v>
      </c>
      <c r="O436" s="2"/>
      <c r="P436" s="4">
        <v>1</v>
      </c>
      <c r="Q436" s="2" t="s">
        <v>2317</v>
      </c>
      <c r="R436" s="11">
        <f>SUBTOTAL(3,_xlfn.SINGLE(tbl_file[RowId]))</f>
        <v>1</v>
      </c>
    </row>
    <row r="437" spans="10:18">
      <c r="J437" s="4">
        <v>1552</v>
      </c>
      <c r="K437" s="21" t="str">
        <f>HYPERLINK("obsidian://open?vault=o2&amp;file=2024-11-11.md","2024-11-11")</f>
        <v>2024-11-11</v>
      </c>
      <c r="L437" s="20" t="s">
        <v>175</v>
      </c>
      <c r="M437" s="4"/>
      <c r="N437" s="2" t="s">
        <v>133</v>
      </c>
      <c r="O437" s="2"/>
      <c r="P437" s="4">
        <v>1</v>
      </c>
      <c r="Q437" s="2" t="s">
        <v>2109</v>
      </c>
      <c r="R437" s="11">
        <f>SUBTOTAL(3,_xlfn.SINGLE(tbl_file[RowId]))</f>
        <v>1</v>
      </c>
    </row>
    <row r="438" spans="10:18">
      <c r="J438" s="4">
        <v>1553</v>
      </c>
      <c r="K438" s="21" t="str">
        <f>HYPERLINK("obsidian://open?vault=o2&amp;file=2024-11-12.md","2024-11-12")</f>
        <v>2024-11-12</v>
      </c>
      <c r="L438" s="20" t="s">
        <v>175</v>
      </c>
      <c r="M438" s="4"/>
      <c r="N438" s="2" t="s">
        <v>2606</v>
      </c>
      <c r="O438" s="2"/>
      <c r="P438" s="4">
        <v>1</v>
      </c>
      <c r="Q438" s="2" t="s">
        <v>2317</v>
      </c>
      <c r="R438" s="11">
        <f>SUBTOTAL(3,_xlfn.SINGLE(tbl_file[RowId]))</f>
        <v>1</v>
      </c>
    </row>
    <row r="439" spans="10:18">
      <c r="J439" s="4">
        <v>1554</v>
      </c>
      <c r="K439" s="21" t="str">
        <f>HYPERLINK("obsidian://open?vault=o2&amp;file=2024-11-12.md","2024-11-12")</f>
        <v>2024-11-12</v>
      </c>
      <c r="L439" s="20" t="s">
        <v>175</v>
      </c>
      <c r="M439" s="4"/>
      <c r="N439" s="2" t="s">
        <v>133</v>
      </c>
      <c r="O439" s="2"/>
      <c r="P439" s="4">
        <v>1</v>
      </c>
      <c r="Q439" s="2" t="s">
        <v>2109</v>
      </c>
      <c r="R439" s="11">
        <f>SUBTOTAL(3,_xlfn.SINGLE(tbl_file[RowId]))</f>
        <v>1</v>
      </c>
    </row>
    <row r="440" spans="10:18">
      <c r="J440" s="4">
        <v>1555</v>
      </c>
      <c r="K440" s="21" t="str">
        <f>HYPERLINK("obsidian://open?vault=o2&amp;file=2024-11-13.md","2024-11-13")</f>
        <v>2024-11-13</v>
      </c>
      <c r="L440" s="20" t="s">
        <v>175</v>
      </c>
      <c r="M440" s="4"/>
      <c r="N440" s="2" t="s">
        <v>2606</v>
      </c>
      <c r="O440" s="2"/>
      <c r="P440" s="4">
        <v>1</v>
      </c>
      <c r="Q440" s="2" t="s">
        <v>2317</v>
      </c>
      <c r="R440" s="11">
        <f>SUBTOTAL(3,_xlfn.SINGLE(tbl_file[RowId]))</f>
        <v>1</v>
      </c>
    </row>
    <row r="441" spans="10:18">
      <c r="J441" s="4">
        <v>1556</v>
      </c>
      <c r="K441" s="21" t="str">
        <f>HYPERLINK("obsidian://open?vault=o2&amp;file=2024-11-13.md","2024-11-13")</f>
        <v>2024-11-13</v>
      </c>
      <c r="L441" s="20" t="s">
        <v>175</v>
      </c>
      <c r="M441" s="4"/>
      <c r="N441" s="2" t="s">
        <v>133</v>
      </c>
      <c r="O441" s="2"/>
      <c r="P441" s="4">
        <v>1</v>
      </c>
      <c r="Q441" s="2" t="s">
        <v>2109</v>
      </c>
      <c r="R441" s="11">
        <f>SUBTOTAL(3,_xlfn.SINGLE(tbl_file[RowId]))</f>
        <v>1</v>
      </c>
    </row>
    <row r="442" spans="10:18">
      <c r="J442" s="4">
        <v>1557</v>
      </c>
      <c r="K442" s="21" t="str">
        <f>HYPERLINK("obsidian://open?vault=o2&amp;file=2024-11-25.md","2024-11-25")</f>
        <v>2024-11-25</v>
      </c>
      <c r="L442" s="20" t="s">
        <v>175</v>
      </c>
      <c r="M442" s="4"/>
      <c r="N442" s="2" t="s">
        <v>2606</v>
      </c>
      <c r="O442" s="2"/>
      <c r="P442" s="4">
        <v>1</v>
      </c>
      <c r="Q442" s="2" t="s">
        <v>2317</v>
      </c>
      <c r="R442" s="11">
        <f>SUBTOTAL(3,_xlfn.SINGLE(tbl_file[RowId]))</f>
        <v>1</v>
      </c>
    </row>
    <row r="443" spans="10:18">
      <c r="J443" s="4">
        <v>1558</v>
      </c>
      <c r="K443" s="21" t="str">
        <f>HYPERLINK("obsidian://open?vault=o2&amp;file=2024-11-25.md","2024-11-25")</f>
        <v>2024-11-25</v>
      </c>
      <c r="L443" s="20" t="s">
        <v>175</v>
      </c>
      <c r="M443" s="4"/>
      <c r="N443" s="2" t="s">
        <v>133</v>
      </c>
      <c r="O443" s="2"/>
      <c r="P443" s="4">
        <v>1</v>
      </c>
      <c r="Q443" s="2" t="s">
        <v>2109</v>
      </c>
      <c r="R443" s="11">
        <f>SUBTOTAL(3,_xlfn.SINGLE(tbl_file[RowId]))</f>
        <v>1</v>
      </c>
    </row>
    <row r="444" spans="10:18">
      <c r="J444" s="4">
        <v>1559</v>
      </c>
      <c r="K444" s="21" t="str">
        <f>HYPERLINK("obsidian://open?vault=o2&amp;file=2024-11-26.md","2024-11-26")</f>
        <v>2024-11-26</v>
      </c>
      <c r="L444" s="20" t="s">
        <v>175</v>
      </c>
      <c r="M444" s="4"/>
      <c r="N444" s="2" t="s">
        <v>2606</v>
      </c>
      <c r="O444" s="2"/>
      <c r="P444" s="4">
        <v>1</v>
      </c>
      <c r="Q444" s="2" t="s">
        <v>2317</v>
      </c>
      <c r="R444" s="11">
        <f>SUBTOTAL(3,_xlfn.SINGLE(tbl_file[RowId]))</f>
        <v>1</v>
      </c>
    </row>
    <row r="445" spans="10:18">
      <c r="J445" s="4">
        <v>1560</v>
      </c>
      <c r="K445" s="21" t="str">
        <f>HYPERLINK("obsidian://open?vault=o2&amp;file=2024-11-26.md","2024-11-26")</f>
        <v>2024-11-26</v>
      </c>
      <c r="L445" s="20" t="s">
        <v>175</v>
      </c>
      <c r="M445" s="4"/>
      <c r="N445" s="2" t="s">
        <v>133</v>
      </c>
      <c r="O445" s="2"/>
      <c r="P445" s="4">
        <v>1</v>
      </c>
      <c r="Q445" s="2" t="s">
        <v>2109</v>
      </c>
      <c r="R445" s="11">
        <f>SUBTOTAL(3,_xlfn.SINGLE(tbl_file[RowId]))</f>
        <v>1</v>
      </c>
    </row>
    <row r="446" spans="10:18">
      <c r="J446" s="4">
        <v>1561</v>
      </c>
      <c r="K446" s="21" t="str">
        <f>HYPERLINK("obsidian://open?vault=o2&amp;file=2024-11-27.md","2024-11-27")</f>
        <v>2024-11-27</v>
      </c>
      <c r="L446" s="20" t="s">
        <v>175</v>
      </c>
      <c r="M446" s="4"/>
      <c r="N446" s="2" t="s">
        <v>2606</v>
      </c>
      <c r="O446" s="2"/>
      <c r="P446" s="4">
        <v>1</v>
      </c>
      <c r="Q446" s="2" t="s">
        <v>2317</v>
      </c>
      <c r="R446" s="11">
        <f>SUBTOTAL(3,_xlfn.SINGLE(tbl_file[RowId]))</f>
        <v>1</v>
      </c>
    </row>
    <row r="447" spans="10:18">
      <c r="J447" s="4">
        <v>1562</v>
      </c>
      <c r="K447" s="21" t="str">
        <f>HYPERLINK("obsidian://open?vault=o2&amp;file=2024-11-27.md","2024-11-27")</f>
        <v>2024-11-27</v>
      </c>
      <c r="L447" s="20" t="s">
        <v>175</v>
      </c>
      <c r="M447" s="4"/>
      <c r="N447" s="2" t="s">
        <v>133</v>
      </c>
      <c r="O447" s="2"/>
      <c r="P447" s="4">
        <v>1</v>
      </c>
      <c r="Q447" s="2" t="s">
        <v>2109</v>
      </c>
      <c r="R447" s="11">
        <f>SUBTOTAL(3,_xlfn.SINGLE(tbl_file[RowId]))</f>
        <v>1</v>
      </c>
    </row>
    <row r="448" spans="10:18">
      <c r="J448" s="4">
        <v>1563</v>
      </c>
      <c r="K448" s="21" t="str">
        <f>HYPERLINK("obsidian://open?vault=o2&amp;file=2024-12-01.md","2024-12-01")</f>
        <v>2024-12-01</v>
      </c>
      <c r="L448" s="20" t="s">
        <v>175</v>
      </c>
      <c r="M448" s="4"/>
      <c r="N448" s="2" t="s">
        <v>2606</v>
      </c>
      <c r="O448" s="2"/>
      <c r="P448" s="4">
        <v>1</v>
      </c>
      <c r="Q448" s="2" t="s">
        <v>2317</v>
      </c>
      <c r="R448" s="11">
        <f>SUBTOTAL(3,_xlfn.SINGLE(tbl_file[RowId]))</f>
        <v>1</v>
      </c>
    </row>
    <row r="449" spans="10:18">
      <c r="J449" s="4">
        <v>1564</v>
      </c>
      <c r="K449" s="21" t="str">
        <f>HYPERLINK("obsidian://open?vault=o2&amp;file=2024-12-01.md","2024-12-01")</f>
        <v>2024-12-01</v>
      </c>
      <c r="L449" s="20" t="s">
        <v>175</v>
      </c>
      <c r="M449" s="4"/>
      <c r="N449" s="2" t="s">
        <v>133</v>
      </c>
      <c r="O449" s="2"/>
      <c r="P449" s="4">
        <v>1</v>
      </c>
      <c r="Q449" s="2" t="s">
        <v>2109</v>
      </c>
      <c r="R449" s="11">
        <f>SUBTOTAL(3,_xlfn.SINGLE(tbl_file[RowId]))</f>
        <v>1</v>
      </c>
    </row>
    <row r="450" spans="10:18">
      <c r="J450" s="4">
        <v>1565</v>
      </c>
      <c r="K450" s="21" t="str">
        <f>HYPERLINK("obsidian://open?vault=o2&amp;file=2024-12-02.md","2024-12-02")</f>
        <v>2024-12-02</v>
      </c>
      <c r="L450" s="20" t="s">
        <v>175</v>
      </c>
      <c r="M450" s="4"/>
      <c r="N450" s="2" t="s">
        <v>2606</v>
      </c>
      <c r="O450" s="2"/>
      <c r="P450" s="4">
        <v>1</v>
      </c>
      <c r="Q450" s="2" t="s">
        <v>2317</v>
      </c>
      <c r="R450" s="11">
        <f>SUBTOTAL(3,_xlfn.SINGLE(tbl_file[RowId]))</f>
        <v>1</v>
      </c>
    </row>
    <row r="451" spans="10:18">
      <c r="J451" s="4">
        <v>1566</v>
      </c>
      <c r="K451" s="21" t="str">
        <f>HYPERLINK("obsidian://open?vault=o2&amp;file=2024-12-02.md","2024-12-02")</f>
        <v>2024-12-02</v>
      </c>
      <c r="L451" s="20" t="s">
        <v>175</v>
      </c>
      <c r="M451" s="4"/>
      <c r="N451" s="2" t="s">
        <v>133</v>
      </c>
      <c r="O451" s="2"/>
      <c r="P451" s="4">
        <v>1</v>
      </c>
      <c r="Q451" s="2" t="s">
        <v>2109</v>
      </c>
      <c r="R451" s="11">
        <f>SUBTOTAL(3,_xlfn.SINGLE(tbl_file[RowId]))</f>
        <v>1</v>
      </c>
    </row>
    <row r="452" spans="10:18">
      <c r="J452" s="4">
        <v>1567</v>
      </c>
      <c r="K452" s="21" t="str">
        <f>HYPERLINK("obsidian://open?vault=o2&amp;file=2024-12-03.md","2024-12-03")</f>
        <v>2024-12-03</v>
      </c>
      <c r="L452" s="20" t="s">
        <v>175</v>
      </c>
      <c r="M452" s="4"/>
      <c r="N452" s="2" t="s">
        <v>2606</v>
      </c>
      <c r="O452" s="2"/>
      <c r="P452" s="4">
        <v>1</v>
      </c>
      <c r="Q452" s="2" t="s">
        <v>2317</v>
      </c>
      <c r="R452" s="11">
        <f>SUBTOTAL(3,_xlfn.SINGLE(tbl_file[RowId]))</f>
        <v>1</v>
      </c>
    </row>
    <row r="453" spans="10:18">
      <c r="J453" s="4">
        <v>1568</v>
      </c>
      <c r="K453" s="21" t="str">
        <f>HYPERLINK("obsidian://open?vault=o2&amp;file=2024-12-03.md","2024-12-03")</f>
        <v>2024-12-03</v>
      </c>
      <c r="L453" s="20" t="s">
        <v>175</v>
      </c>
      <c r="M453" s="4"/>
      <c r="N453" s="2" t="s">
        <v>133</v>
      </c>
      <c r="O453" s="2"/>
      <c r="P453" s="4">
        <v>1</v>
      </c>
      <c r="Q453" s="2" t="s">
        <v>2109</v>
      </c>
      <c r="R453" s="11">
        <f>SUBTOTAL(3,_xlfn.SINGLE(tbl_file[RowId]))</f>
        <v>1</v>
      </c>
    </row>
    <row r="454" spans="10:18">
      <c r="J454" s="4">
        <v>1569</v>
      </c>
      <c r="K454" s="21" t="str">
        <f>HYPERLINK("obsidian://open?vault=o2&amp;file=2024-12-04.md","2024-12-04")</f>
        <v>2024-12-04</v>
      </c>
      <c r="L454" s="20" t="s">
        <v>175</v>
      </c>
      <c r="M454" s="4"/>
      <c r="N454" s="2" t="s">
        <v>2606</v>
      </c>
      <c r="O454" s="2"/>
      <c r="P454" s="4">
        <v>1</v>
      </c>
      <c r="Q454" s="2" t="s">
        <v>2317</v>
      </c>
      <c r="R454" s="11">
        <f>SUBTOTAL(3,_xlfn.SINGLE(tbl_file[RowId]))</f>
        <v>1</v>
      </c>
    </row>
    <row r="455" spans="10:18">
      <c r="J455" s="4">
        <v>1570</v>
      </c>
      <c r="K455" s="21" t="str">
        <f>HYPERLINK("obsidian://open?vault=o2&amp;file=2024-12-04.md","2024-12-04")</f>
        <v>2024-12-04</v>
      </c>
      <c r="L455" s="20" t="s">
        <v>175</v>
      </c>
      <c r="M455" s="4"/>
      <c r="N455" s="2" t="s">
        <v>133</v>
      </c>
      <c r="O455" s="2"/>
      <c r="P455" s="4">
        <v>1</v>
      </c>
      <c r="Q455" s="2" t="s">
        <v>2109</v>
      </c>
      <c r="R455" s="11">
        <f>SUBTOTAL(3,_xlfn.SINGLE(tbl_file[RowId]))</f>
        <v>1</v>
      </c>
    </row>
    <row r="456" spans="10:18">
      <c r="J456" s="4">
        <v>1571</v>
      </c>
      <c r="K456" s="21" t="str">
        <f>HYPERLINK("obsidian://open?vault=o2&amp;file=2024-12-07.md","2024-12-07")</f>
        <v>2024-12-07</v>
      </c>
      <c r="L456" s="20" t="s">
        <v>175</v>
      </c>
      <c r="M456" s="4"/>
      <c r="N456" s="2" t="s">
        <v>2606</v>
      </c>
      <c r="O456" s="2"/>
      <c r="P456" s="4">
        <v>1</v>
      </c>
      <c r="Q456" s="2" t="s">
        <v>2317</v>
      </c>
      <c r="R456" s="11">
        <f>SUBTOTAL(3,_xlfn.SINGLE(tbl_file[RowId]))</f>
        <v>1</v>
      </c>
    </row>
    <row r="457" spans="10:18">
      <c r="J457" s="4">
        <v>1572</v>
      </c>
      <c r="K457" s="21" t="str">
        <f>HYPERLINK("obsidian://open?vault=o2&amp;file=2024-12-07.md","2024-12-07")</f>
        <v>2024-12-07</v>
      </c>
      <c r="L457" s="20" t="s">
        <v>175</v>
      </c>
      <c r="M457" s="4"/>
      <c r="N457" s="2" t="s">
        <v>133</v>
      </c>
      <c r="O457" s="2"/>
      <c r="P457" s="4">
        <v>1</v>
      </c>
      <c r="Q457" s="2" t="s">
        <v>2109</v>
      </c>
      <c r="R457" s="11">
        <f>SUBTOTAL(3,_xlfn.SINGLE(tbl_file[RowId]))</f>
        <v>1</v>
      </c>
    </row>
    <row r="458" spans="10:18">
      <c r="J458" s="4">
        <v>1573</v>
      </c>
      <c r="K458" s="21" t="str">
        <f>HYPERLINK("obsidian://open?vault=o2&amp;file=2024-12-08.md","2024-12-08")</f>
        <v>2024-12-08</v>
      </c>
      <c r="L458" s="20" t="s">
        <v>175</v>
      </c>
      <c r="M458" s="4"/>
      <c r="N458" s="2" t="s">
        <v>2606</v>
      </c>
      <c r="O458" s="2"/>
      <c r="P458" s="4">
        <v>1</v>
      </c>
      <c r="Q458" s="2" t="s">
        <v>2317</v>
      </c>
      <c r="R458" s="11">
        <f>SUBTOTAL(3,_xlfn.SINGLE(tbl_file[RowId]))</f>
        <v>1</v>
      </c>
    </row>
    <row r="459" spans="10:18">
      <c r="J459" s="4">
        <v>1574</v>
      </c>
      <c r="K459" s="21" t="str">
        <f>HYPERLINK("obsidian://open?vault=o2&amp;file=2024-12-08.md","2024-12-08")</f>
        <v>2024-12-08</v>
      </c>
      <c r="L459" s="20" t="s">
        <v>175</v>
      </c>
      <c r="M459" s="4"/>
      <c r="N459" s="2" t="s">
        <v>133</v>
      </c>
      <c r="O459" s="2"/>
      <c r="P459" s="4">
        <v>1</v>
      </c>
      <c r="Q459" s="2" t="s">
        <v>2109</v>
      </c>
      <c r="R459" s="11">
        <f>SUBTOTAL(3,_xlfn.SINGLE(tbl_file[RowId]))</f>
        <v>1</v>
      </c>
    </row>
    <row r="460" spans="10:18">
      <c r="J460" s="4">
        <v>1575</v>
      </c>
      <c r="K460" s="21" t="str">
        <f>HYPERLINK("obsidian://open?vault=o2&amp;file=2024-12-10.md","2024-12-10")</f>
        <v>2024-12-10</v>
      </c>
      <c r="L460" s="20" t="s">
        <v>175</v>
      </c>
      <c r="M460" s="4"/>
      <c r="N460" s="2" t="s">
        <v>2606</v>
      </c>
      <c r="O460" s="2"/>
      <c r="P460" s="4">
        <v>1</v>
      </c>
      <c r="Q460" s="2" t="s">
        <v>2317</v>
      </c>
      <c r="R460" s="11">
        <f>SUBTOTAL(3,_xlfn.SINGLE(tbl_file[RowId]))</f>
        <v>1</v>
      </c>
    </row>
    <row r="461" spans="10:18">
      <c r="J461" s="4">
        <v>1576</v>
      </c>
      <c r="K461" s="21" t="str">
        <f>HYPERLINK("obsidian://open?vault=o2&amp;file=2024-12-10.md","2024-12-10")</f>
        <v>2024-12-10</v>
      </c>
      <c r="L461" s="20" t="s">
        <v>175</v>
      </c>
      <c r="M461" s="4"/>
      <c r="N461" s="2" t="s">
        <v>133</v>
      </c>
      <c r="O461" s="2"/>
      <c r="P461" s="4">
        <v>1</v>
      </c>
      <c r="Q461" s="2" t="s">
        <v>2109</v>
      </c>
      <c r="R461" s="11">
        <f>SUBTOTAL(3,_xlfn.SINGLE(tbl_file[RowId]))</f>
        <v>1</v>
      </c>
    </row>
    <row r="462" spans="10:18">
      <c r="J462" s="4">
        <v>1577</v>
      </c>
      <c r="K462" s="21" t="str">
        <f>HYPERLINK("obsidian://open?vault=o2&amp;file=2024-12-12.md","2024-12-12")</f>
        <v>2024-12-12</v>
      </c>
      <c r="L462" s="20" t="s">
        <v>175</v>
      </c>
      <c r="M462" s="4"/>
      <c r="N462" s="2" t="s">
        <v>2606</v>
      </c>
      <c r="O462" s="2"/>
      <c r="P462" s="4">
        <v>1</v>
      </c>
      <c r="Q462" s="2" t="s">
        <v>2317</v>
      </c>
      <c r="R462" s="11">
        <f>SUBTOTAL(3,_xlfn.SINGLE(tbl_file[RowId]))</f>
        <v>1</v>
      </c>
    </row>
    <row r="463" spans="10:18">
      <c r="J463" s="4">
        <v>1578</v>
      </c>
      <c r="K463" s="21" t="str">
        <f>HYPERLINK("obsidian://open?vault=o2&amp;file=2024-12-12.md","2024-12-12")</f>
        <v>2024-12-12</v>
      </c>
      <c r="L463" s="20" t="s">
        <v>175</v>
      </c>
      <c r="M463" s="4"/>
      <c r="N463" s="2" t="s">
        <v>133</v>
      </c>
      <c r="O463" s="2"/>
      <c r="P463" s="4">
        <v>1</v>
      </c>
      <c r="Q463" s="2" t="s">
        <v>2109</v>
      </c>
      <c r="R463" s="11">
        <f>SUBTOTAL(3,_xlfn.SINGLE(tbl_file[RowId]))</f>
        <v>1</v>
      </c>
    </row>
    <row r="464" spans="10:18">
      <c r="J464" s="4">
        <v>1579</v>
      </c>
      <c r="K464" s="21" t="str">
        <f>HYPERLINK("obsidian://open?vault=o2&amp;file=2024-12-13.md","2024-12-13")</f>
        <v>2024-12-13</v>
      </c>
      <c r="L464" s="20" t="s">
        <v>175</v>
      </c>
      <c r="M464" s="4"/>
      <c r="N464" s="2" t="s">
        <v>2606</v>
      </c>
      <c r="O464" s="2"/>
      <c r="P464" s="4">
        <v>1</v>
      </c>
      <c r="Q464" s="2" t="s">
        <v>2317</v>
      </c>
      <c r="R464" s="11">
        <f>SUBTOTAL(3,_xlfn.SINGLE(tbl_file[RowId]))</f>
        <v>1</v>
      </c>
    </row>
    <row r="465" spans="10:18">
      <c r="J465" s="4">
        <v>1580</v>
      </c>
      <c r="K465" s="21" t="str">
        <f>HYPERLINK("obsidian://open?vault=o2&amp;file=2024-12-13.md","2024-12-13")</f>
        <v>2024-12-13</v>
      </c>
      <c r="L465" s="20" t="s">
        <v>175</v>
      </c>
      <c r="M465" s="4"/>
      <c r="N465" s="2" t="s">
        <v>133</v>
      </c>
      <c r="O465" s="2"/>
      <c r="P465" s="4">
        <v>1</v>
      </c>
      <c r="Q465" s="2" t="s">
        <v>2109</v>
      </c>
      <c r="R465" s="11">
        <f>SUBTOTAL(3,_xlfn.SINGLE(tbl_file[RowId]))</f>
        <v>1</v>
      </c>
    </row>
    <row r="466" spans="10:18">
      <c r="J466" s="4">
        <v>1581</v>
      </c>
      <c r="K466" s="21" t="str">
        <f>HYPERLINK("obsidian://open?vault=o2&amp;file=2024-12-14.md","2024-12-14")</f>
        <v>2024-12-14</v>
      </c>
      <c r="L466" s="20" t="s">
        <v>175</v>
      </c>
      <c r="M466" s="4"/>
      <c r="N466" s="2" t="s">
        <v>2606</v>
      </c>
      <c r="O466" s="2"/>
      <c r="P466" s="4">
        <v>1</v>
      </c>
      <c r="Q466" s="2" t="s">
        <v>2317</v>
      </c>
      <c r="R466" s="11">
        <f>SUBTOTAL(3,_xlfn.SINGLE(tbl_file[RowId]))</f>
        <v>1</v>
      </c>
    </row>
    <row r="467" spans="10:18">
      <c r="J467" s="4">
        <v>1582</v>
      </c>
      <c r="K467" s="21" t="str">
        <f>HYPERLINK("obsidian://open?vault=o2&amp;file=2024-12-14.md","2024-12-14")</f>
        <v>2024-12-14</v>
      </c>
      <c r="L467" s="20" t="s">
        <v>175</v>
      </c>
      <c r="M467" s="4"/>
      <c r="N467" s="2" t="s">
        <v>133</v>
      </c>
      <c r="O467" s="2"/>
      <c r="P467" s="4">
        <v>1</v>
      </c>
      <c r="Q467" s="2" t="s">
        <v>2109</v>
      </c>
      <c r="R467" s="11">
        <f>SUBTOTAL(3,_xlfn.SINGLE(tbl_file[RowId]))</f>
        <v>1</v>
      </c>
    </row>
    <row r="468" spans="10:18">
      <c r="J468" s="4">
        <v>1583</v>
      </c>
      <c r="K468" s="21" t="str">
        <f>HYPERLINK("obsidian://open?vault=o2&amp;file=2024-12-17.md","2024-12-17")</f>
        <v>2024-12-17</v>
      </c>
      <c r="L468" s="20" t="s">
        <v>175</v>
      </c>
      <c r="M468" s="4"/>
      <c r="N468" s="2" t="s">
        <v>2606</v>
      </c>
      <c r="O468" s="2"/>
      <c r="P468" s="4">
        <v>1</v>
      </c>
      <c r="Q468" s="2" t="s">
        <v>2317</v>
      </c>
      <c r="R468" s="11">
        <f>SUBTOTAL(3,_xlfn.SINGLE(tbl_file[RowId]))</f>
        <v>1</v>
      </c>
    </row>
    <row r="469" spans="10:18">
      <c r="J469" s="4">
        <v>1584</v>
      </c>
      <c r="K469" s="21" t="str">
        <f>HYPERLINK("obsidian://open?vault=o2&amp;file=2024-12-17.md","2024-12-17")</f>
        <v>2024-12-17</v>
      </c>
      <c r="L469" s="20" t="s">
        <v>175</v>
      </c>
      <c r="M469" s="4"/>
      <c r="N469" s="2" t="s">
        <v>133</v>
      </c>
      <c r="O469" s="2"/>
      <c r="P469" s="4">
        <v>1</v>
      </c>
      <c r="Q469" s="2" t="s">
        <v>2109</v>
      </c>
      <c r="R469" s="11">
        <f>SUBTOTAL(3,_xlfn.SINGLE(tbl_file[RowId]))</f>
        <v>1</v>
      </c>
    </row>
    <row r="470" spans="10:18">
      <c r="J470" s="4">
        <v>1585</v>
      </c>
      <c r="K470" s="21" t="str">
        <f>HYPERLINK("obsidian://open?vault=o2&amp;file=2024-12-18.md","2024-12-18")</f>
        <v>2024-12-18</v>
      </c>
      <c r="L470" s="20" t="s">
        <v>175</v>
      </c>
      <c r="M470" s="4"/>
      <c r="N470" s="2" t="s">
        <v>2606</v>
      </c>
      <c r="O470" s="2"/>
      <c r="P470" s="4">
        <v>1</v>
      </c>
      <c r="Q470" s="2" t="s">
        <v>2317</v>
      </c>
      <c r="R470" s="11">
        <f>SUBTOTAL(3,_xlfn.SINGLE(tbl_file[RowId]))</f>
        <v>1</v>
      </c>
    </row>
    <row r="471" spans="10:18">
      <c r="J471" s="4">
        <v>1586</v>
      </c>
      <c r="K471" s="21" t="str">
        <f>HYPERLINK("obsidian://open?vault=o2&amp;file=2024-12-18.md","2024-12-18")</f>
        <v>2024-12-18</v>
      </c>
      <c r="L471" s="20" t="s">
        <v>175</v>
      </c>
      <c r="M471" s="4"/>
      <c r="N471" s="2" t="s">
        <v>133</v>
      </c>
      <c r="O471" s="2"/>
      <c r="P471" s="4">
        <v>1</v>
      </c>
      <c r="Q471" s="2" t="s">
        <v>2109</v>
      </c>
      <c r="R471" s="11">
        <f>SUBTOTAL(3,_xlfn.SINGLE(tbl_file[RowId]))</f>
        <v>1</v>
      </c>
    </row>
    <row r="472" spans="10:18">
      <c r="J472" s="4">
        <v>1587</v>
      </c>
      <c r="K472" s="21" t="str">
        <f>HYPERLINK("obsidian://open?vault=o2&amp;file=2024-12-19.md","2024-12-19")</f>
        <v>2024-12-19</v>
      </c>
      <c r="L472" s="20" t="s">
        <v>175</v>
      </c>
      <c r="M472" s="4"/>
      <c r="N472" s="2" t="s">
        <v>2606</v>
      </c>
      <c r="O472" s="2"/>
      <c r="P472" s="4">
        <v>1</v>
      </c>
      <c r="Q472" s="2" t="s">
        <v>2317</v>
      </c>
      <c r="R472" s="11">
        <f>SUBTOTAL(3,_xlfn.SINGLE(tbl_file[RowId]))</f>
        <v>1</v>
      </c>
    </row>
    <row r="473" spans="10:18">
      <c r="J473" s="4">
        <v>1588</v>
      </c>
      <c r="K473" s="21" t="str">
        <f>HYPERLINK("obsidian://open?vault=o2&amp;file=2024-12-19.md","2024-12-19")</f>
        <v>2024-12-19</v>
      </c>
      <c r="L473" s="20" t="s">
        <v>175</v>
      </c>
      <c r="M473" s="4"/>
      <c r="N473" s="2" t="s">
        <v>133</v>
      </c>
      <c r="O473" s="2"/>
      <c r="P473" s="4">
        <v>1</v>
      </c>
      <c r="Q473" s="2" t="s">
        <v>2109</v>
      </c>
      <c r="R473" s="11">
        <f>SUBTOTAL(3,_xlfn.SINGLE(tbl_file[RowId]))</f>
        <v>1</v>
      </c>
    </row>
    <row r="474" spans="10:18">
      <c r="J474" s="4">
        <v>1589</v>
      </c>
      <c r="K474" s="21" t="str">
        <f>HYPERLINK("obsidian://open?vault=o2&amp;file=2024-12-20.md","2024-12-20")</f>
        <v>2024-12-20</v>
      </c>
      <c r="L474" s="20" t="s">
        <v>175</v>
      </c>
      <c r="M474" s="4"/>
      <c r="N474" s="2" t="s">
        <v>2606</v>
      </c>
      <c r="O474" s="2"/>
      <c r="P474" s="4">
        <v>1</v>
      </c>
      <c r="Q474" s="2" t="s">
        <v>2317</v>
      </c>
      <c r="R474" s="11">
        <f>SUBTOTAL(3,_xlfn.SINGLE(tbl_file[RowId]))</f>
        <v>1</v>
      </c>
    </row>
    <row r="475" spans="10:18">
      <c r="J475" s="4">
        <v>1590</v>
      </c>
      <c r="K475" s="21" t="str">
        <f>HYPERLINK("obsidian://open?vault=o2&amp;file=2024-12-20.md","2024-12-20")</f>
        <v>2024-12-20</v>
      </c>
      <c r="L475" s="20" t="s">
        <v>175</v>
      </c>
      <c r="M475" s="4"/>
      <c r="N475" s="2" t="s">
        <v>133</v>
      </c>
      <c r="O475" s="2"/>
      <c r="P475" s="4">
        <v>1</v>
      </c>
      <c r="Q475" s="2" t="s">
        <v>2109</v>
      </c>
      <c r="R475" s="11">
        <f>SUBTOTAL(3,_xlfn.SINGLE(tbl_file[RowId]))</f>
        <v>1</v>
      </c>
    </row>
    <row r="476" spans="10:18">
      <c r="J476" s="4">
        <v>1591</v>
      </c>
      <c r="K476" s="21" t="str">
        <f>HYPERLINK("obsidian://open?vault=o2&amp;file=2024-12-21.md","2024-12-21")</f>
        <v>2024-12-21</v>
      </c>
      <c r="L476" s="20" t="s">
        <v>175</v>
      </c>
      <c r="M476" s="4"/>
      <c r="N476" s="2" t="s">
        <v>2606</v>
      </c>
      <c r="O476" s="2"/>
      <c r="P476" s="4">
        <v>1</v>
      </c>
      <c r="Q476" s="2" t="s">
        <v>2317</v>
      </c>
      <c r="R476" s="11">
        <f>SUBTOTAL(3,_xlfn.SINGLE(tbl_file[RowId]))</f>
        <v>1</v>
      </c>
    </row>
    <row r="477" spans="10:18">
      <c r="J477" s="4">
        <v>1592</v>
      </c>
      <c r="K477" s="21" t="str">
        <f>HYPERLINK("obsidian://open?vault=o2&amp;file=2024-12-21.md","2024-12-21")</f>
        <v>2024-12-21</v>
      </c>
      <c r="L477" s="20" t="s">
        <v>175</v>
      </c>
      <c r="M477" s="4"/>
      <c r="N477" s="2" t="s">
        <v>133</v>
      </c>
      <c r="O477" s="2"/>
      <c r="P477" s="4">
        <v>1</v>
      </c>
      <c r="Q477" s="2" t="s">
        <v>2109</v>
      </c>
      <c r="R477" s="11">
        <f>SUBTOTAL(3,_xlfn.SINGLE(tbl_file[RowId]))</f>
        <v>1</v>
      </c>
    </row>
    <row r="478" spans="10:18">
      <c r="J478" s="4">
        <v>1593</v>
      </c>
      <c r="K478" s="21" t="str">
        <f>HYPERLINK("obsidian://open?vault=o2&amp;file=2024-12-23.md","2024-12-23")</f>
        <v>2024-12-23</v>
      </c>
      <c r="L478" s="20" t="s">
        <v>175</v>
      </c>
      <c r="M478" s="4"/>
      <c r="N478" s="2" t="s">
        <v>35</v>
      </c>
      <c r="O478" s="2"/>
      <c r="P478" s="4">
        <v>1</v>
      </c>
      <c r="Q478" s="2" t="s">
        <v>3026</v>
      </c>
      <c r="R478" s="11">
        <f>SUBTOTAL(3,_xlfn.SINGLE(tbl_file[RowId]))</f>
        <v>1</v>
      </c>
    </row>
    <row r="479" spans="10:18">
      <c r="J479" s="4">
        <v>1594</v>
      </c>
      <c r="K479" s="21" t="str">
        <f>HYPERLINK("obsidian://open?vault=o2&amp;file=2024-12-23.md","2024-12-23")</f>
        <v>2024-12-23</v>
      </c>
      <c r="L479" s="20" t="s">
        <v>175</v>
      </c>
      <c r="M479" s="4"/>
      <c r="N479" s="2" t="s">
        <v>2606</v>
      </c>
      <c r="O479" s="2"/>
      <c r="P479" s="4">
        <v>1</v>
      </c>
      <c r="Q479" s="2" t="s">
        <v>2317</v>
      </c>
      <c r="R479" s="11">
        <f>SUBTOTAL(3,_xlfn.SINGLE(tbl_file[RowId]))</f>
        <v>1</v>
      </c>
    </row>
    <row r="480" spans="10:18">
      <c r="J480" s="4">
        <v>1595</v>
      </c>
      <c r="K480" s="21" t="str">
        <f>HYPERLINK("obsidian://open?vault=o2&amp;file=2024-12-23.md","2024-12-23")</f>
        <v>2024-12-23</v>
      </c>
      <c r="L480" s="20" t="s">
        <v>175</v>
      </c>
      <c r="M480" s="4"/>
      <c r="N480" s="2" t="s">
        <v>133</v>
      </c>
      <c r="O480" s="2"/>
      <c r="P480" s="4">
        <v>1</v>
      </c>
      <c r="Q480" s="2" t="s">
        <v>2109</v>
      </c>
      <c r="R480" s="11">
        <f>SUBTOTAL(3,_xlfn.SINGLE(tbl_file[RowId]))</f>
        <v>1</v>
      </c>
    </row>
    <row r="481" spans="10:18">
      <c r="J481" s="4">
        <v>1596</v>
      </c>
      <c r="K481" s="21" t="str">
        <f>HYPERLINK("obsidian://open?vault=o2&amp;file=2024-12-24.md","2024-12-24")</f>
        <v>2024-12-24</v>
      </c>
      <c r="L481" s="20" t="s">
        <v>175</v>
      </c>
      <c r="M481" s="4"/>
      <c r="N481" s="2" t="s">
        <v>2606</v>
      </c>
      <c r="O481" s="2"/>
      <c r="P481" s="4">
        <v>1</v>
      </c>
      <c r="Q481" s="2" t="s">
        <v>2317</v>
      </c>
      <c r="R481" s="11">
        <f>SUBTOTAL(3,_xlfn.SINGLE(tbl_file[RowId]))</f>
        <v>1</v>
      </c>
    </row>
    <row r="482" spans="10:18">
      <c r="J482" s="4">
        <v>1597</v>
      </c>
      <c r="K482" s="21" t="str">
        <f>HYPERLINK("obsidian://open?vault=o2&amp;file=2024-12-24.md","2024-12-24")</f>
        <v>2024-12-24</v>
      </c>
      <c r="L482" s="20" t="s">
        <v>175</v>
      </c>
      <c r="M482" s="4"/>
      <c r="N482" s="2" t="s">
        <v>133</v>
      </c>
      <c r="O482" s="2"/>
      <c r="P482" s="4">
        <v>1</v>
      </c>
      <c r="Q482" s="2" t="s">
        <v>2109</v>
      </c>
      <c r="R482" s="11">
        <f>SUBTOTAL(3,_xlfn.SINGLE(tbl_file[RowId]))</f>
        <v>1</v>
      </c>
    </row>
    <row r="483" spans="10:18">
      <c r="J483" s="4">
        <v>1598</v>
      </c>
      <c r="K483" s="21" t="str">
        <f>HYPERLINK("obsidian://open?vault=o2&amp;file=2024-12-25.md","2024-12-25")</f>
        <v>2024-12-25</v>
      </c>
      <c r="L483" s="20" t="s">
        <v>175</v>
      </c>
      <c r="M483" s="4"/>
      <c r="N483" s="2" t="s">
        <v>2606</v>
      </c>
      <c r="O483" s="2"/>
      <c r="P483" s="4">
        <v>1</v>
      </c>
      <c r="Q483" s="2" t="s">
        <v>2317</v>
      </c>
      <c r="R483" s="11">
        <f>SUBTOTAL(3,_xlfn.SINGLE(tbl_file[RowId]))</f>
        <v>1</v>
      </c>
    </row>
    <row r="484" spans="10:18">
      <c r="J484" s="4">
        <v>1599</v>
      </c>
      <c r="K484" s="21" t="str">
        <f>HYPERLINK("obsidian://open?vault=o2&amp;file=2024-12-25.md","2024-12-25")</f>
        <v>2024-12-25</v>
      </c>
      <c r="L484" s="20" t="s">
        <v>175</v>
      </c>
      <c r="M484" s="4"/>
      <c r="N484" s="2" t="s">
        <v>133</v>
      </c>
      <c r="O484" s="2"/>
      <c r="P484" s="4">
        <v>1</v>
      </c>
      <c r="Q484" s="2" t="s">
        <v>2109</v>
      </c>
      <c r="R484" s="11">
        <f>SUBTOTAL(3,_xlfn.SINGLE(tbl_file[RowId]))</f>
        <v>1</v>
      </c>
    </row>
    <row r="485" spans="10:18">
      <c r="J485" s="4">
        <v>1600</v>
      </c>
      <c r="K485" s="21" t="str">
        <f>HYPERLINK("obsidian://open?vault=o2&amp;file=2024-12-26.md","2024-12-26")</f>
        <v>2024-12-26</v>
      </c>
      <c r="L485" s="20" t="s">
        <v>175</v>
      </c>
      <c r="M485" s="4"/>
      <c r="N485" s="2" t="s">
        <v>2606</v>
      </c>
      <c r="O485" s="2"/>
      <c r="P485" s="4">
        <v>1</v>
      </c>
      <c r="Q485" s="2" t="s">
        <v>2317</v>
      </c>
      <c r="R485" s="11">
        <f>SUBTOTAL(3,_xlfn.SINGLE(tbl_file[RowId]))</f>
        <v>1</v>
      </c>
    </row>
    <row r="486" spans="10:18">
      <c r="J486" s="4">
        <v>1601</v>
      </c>
      <c r="K486" s="21" t="str">
        <f>HYPERLINK("obsidian://open?vault=o2&amp;file=2024-12-26.md","2024-12-26")</f>
        <v>2024-12-26</v>
      </c>
      <c r="L486" s="20" t="s">
        <v>175</v>
      </c>
      <c r="M486" s="4"/>
      <c r="N486" s="2" t="s">
        <v>133</v>
      </c>
      <c r="O486" s="2"/>
      <c r="P486" s="4">
        <v>1</v>
      </c>
      <c r="Q486" s="2" t="s">
        <v>2109</v>
      </c>
      <c r="R486" s="11">
        <f>SUBTOTAL(3,_xlfn.SINGLE(tbl_file[RowId]))</f>
        <v>1</v>
      </c>
    </row>
    <row r="487" spans="10:18">
      <c r="J487" s="4">
        <v>1602</v>
      </c>
      <c r="K487" s="21" t="str">
        <f>HYPERLINK("obsidian://open?vault=o2&amp;file=2024-12-28.md","2024-12-28")</f>
        <v>2024-12-28</v>
      </c>
      <c r="L487" s="20" t="s">
        <v>175</v>
      </c>
      <c r="M487" s="4"/>
      <c r="N487" s="2" t="s">
        <v>2606</v>
      </c>
      <c r="O487" s="2"/>
      <c r="P487" s="4">
        <v>1</v>
      </c>
      <c r="Q487" s="2" t="s">
        <v>2317</v>
      </c>
      <c r="R487" s="11">
        <f>SUBTOTAL(3,_xlfn.SINGLE(tbl_file[RowId]))</f>
        <v>1</v>
      </c>
    </row>
    <row r="488" spans="10:18">
      <c r="J488" s="4">
        <v>1603</v>
      </c>
      <c r="K488" s="21" t="str">
        <f>HYPERLINK("obsidian://open?vault=o2&amp;file=2024-12-28.md","2024-12-28")</f>
        <v>2024-12-28</v>
      </c>
      <c r="L488" s="20" t="s">
        <v>175</v>
      </c>
      <c r="M488" s="4"/>
      <c r="N488" s="2" t="s">
        <v>133</v>
      </c>
      <c r="O488" s="2"/>
      <c r="P488" s="4">
        <v>1</v>
      </c>
      <c r="Q488" s="2" t="s">
        <v>2109</v>
      </c>
      <c r="R488" s="11">
        <f>SUBTOTAL(3,_xlfn.SINGLE(tbl_file[RowId]))</f>
        <v>1</v>
      </c>
    </row>
    <row r="489" spans="10:18">
      <c r="J489" s="4">
        <v>1604</v>
      </c>
      <c r="K489" s="21" t="str">
        <f>HYPERLINK("obsidian://open?vault=o2&amp;file=2024-12-29.md","2024-12-29")</f>
        <v>2024-12-29</v>
      </c>
      <c r="L489" s="20" t="s">
        <v>175</v>
      </c>
      <c r="M489" s="4"/>
      <c r="N489" s="2" t="s">
        <v>2606</v>
      </c>
      <c r="O489" s="2"/>
      <c r="P489" s="4">
        <v>1</v>
      </c>
      <c r="Q489" s="2" t="s">
        <v>2317</v>
      </c>
      <c r="R489" s="11">
        <f>SUBTOTAL(3,_xlfn.SINGLE(tbl_file[RowId]))</f>
        <v>1</v>
      </c>
    </row>
    <row r="490" spans="10:18">
      <c r="J490" s="4">
        <v>1605</v>
      </c>
      <c r="K490" s="21" t="str">
        <f>HYPERLINK("obsidian://open?vault=o2&amp;file=2024-12-29.md","2024-12-29")</f>
        <v>2024-12-29</v>
      </c>
      <c r="L490" s="20" t="s">
        <v>175</v>
      </c>
      <c r="M490" s="4"/>
      <c r="N490" s="2" t="s">
        <v>133</v>
      </c>
      <c r="O490" s="2"/>
      <c r="P490" s="4">
        <v>1</v>
      </c>
      <c r="Q490" s="2" t="s">
        <v>2109</v>
      </c>
      <c r="R490" s="11">
        <f>SUBTOTAL(3,_xlfn.SINGLE(tbl_file[RowId]))</f>
        <v>1</v>
      </c>
    </row>
    <row r="491" spans="10:18">
      <c r="J491" s="4">
        <v>1606</v>
      </c>
      <c r="K491" s="21" t="str">
        <f>HYPERLINK("obsidian://open?vault=o2&amp;file=2024-12-30.md","2024-12-30")</f>
        <v>2024-12-30</v>
      </c>
      <c r="L491" s="20" t="s">
        <v>175</v>
      </c>
      <c r="M491" s="4"/>
      <c r="N491" s="2" t="s">
        <v>2606</v>
      </c>
      <c r="O491" s="2"/>
      <c r="P491" s="4">
        <v>1</v>
      </c>
      <c r="Q491" s="2" t="s">
        <v>2317</v>
      </c>
      <c r="R491" s="11">
        <f>SUBTOTAL(3,_xlfn.SINGLE(tbl_file[RowId]))</f>
        <v>1</v>
      </c>
    </row>
    <row r="492" spans="10:18">
      <c r="J492" s="4">
        <v>1607</v>
      </c>
      <c r="K492" s="21" t="str">
        <f>HYPERLINK("obsidian://open?vault=o2&amp;file=2024-12-30.md","2024-12-30")</f>
        <v>2024-12-30</v>
      </c>
      <c r="L492" s="20" t="s">
        <v>175</v>
      </c>
      <c r="M492" s="4"/>
      <c r="N492" s="2" t="s">
        <v>133</v>
      </c>
      <c r="O492" s="2"/>
      <c r="P492" s="4">
        <v>1</v>
      </c>
      <c r="Q492" s="2" t="s">
        <v>2109</v>
      </c>
      <c r="R492" s="11">
        <f>SUBTOTAL(3,_xlfn.SINGLE(tbl_file[RowId]))</f>
        <v>1</v>
      </c>
    </row>
    <row r="493" spans="10:18">
      <c r="J493" s="4">
        <v>1873</v>
      </c>
      <c r="K493" s="21" t="str">
        <f>HYPERLINK("obsidian://open?vault=o2&amp;file=2024-Q4.md","2024-Q4")</f>
        <v>2024-Q4</v>
      </c>
      <c r="L493" s="20" t="s">
        <v>175</v>
      </c>
      <c r="M493" s="4"/>
      <c r="N493" s="2" t="s">
        <v>15</v>
      </c>
      <c r="O493" s="2"/>
      <c r="P493" s="4">
        <v>1</v>
      </c>
      <c r="Q493" s="2" t="s">
        <v>360</v>
      </c>
      <c r="R493" s="11">
        <f>SUBTOTAL(3,_xlfn.SINGLE(tbl_file[RowId]))</f>
        <v>1</v>
      </c>
    </row>
    <row r="494" spans="10:18">
      <c r="J494" s="4">
        <v>1874</v>
      </c>
      <c r="K494" s="21" t="str">
        <f>HYPERLINK("obsidian://open?vault=o2&amp;file=2024-Q4.md","2024-Q4")</f>
        <v>2024-Q4</v>
      </c>
      <c r="L494" s="20" t="s">
        <v>175</v>
      </c>
      <c r="M494" s="4"/>
      <c r="N494" s="2" t="s">
        <v>50</v>
      </c>
      <c r="O494" s="2"/>
      <c r="P494" s="4">
        <v>1</v>
      </c>
      <c r="Q494" s="2" t="s">
        <v>1710</v>
      </c>
      <c r="R494" s="11">
        <f>SUBTOTAL(3,_xlfn.SINGLE(tbl_file[RowId]))</f>
        <v>1</v>
      </c>
    </row>
    <row r="495" spans="10:18">
      <c r="J495" s="4">
        <v>1875</v>
      </c>
      <c r="K495" s="21" t="str">
        <f>HYPERLINK("obsidian://open?vault=o2&amp;file=2024-Q4.md","2024-Q4")</f>
        <v>2024-Q4</v>
      </c>
      <c r="L495" s="20" t="s">
        <v>175</v>
      </c>
      <c r="M495" s="4"/>
      <c r="N495" s="2" t="s">
        <v>117</v>
      </c>
      <c r="O495" s="2"/>
      <c r="P495" s="4">
        <v>1</v>
      </c>
      <c r="Q495" s="2" t="s">
        <v>1797</v>
      </c>
      <c r="R495" s="11">
        <f>SUBTOTAL(3,_xlfn.SINGLE(tbl_file[RowId]))</f>
        <v>1</v>
      </c>
    </row>
    <row r="496" spans="10:18">
      <c r="J496" s="4">
        <v>1876</v>
      </c>
      <c r="K496" s="21" t="str">
        <f>HYPERLINK("obsidian://open?vault=o2&amp;file=2024-Q4.md","2024-Q4")</f>
        <v>2024-Q4</v>
      </c>
      <c r="L496" s="20" t="s">
        <v>175</v>
      </c>
      <c r="M496" s="4"/>
      <c r="N496" s="2" t="s">
        <v>130</v>
      </c>
      <c r="O496" s="2"/>
      <c r="P496" s="4">
        <v>1</v>
      </c>
      <c r="Q496" s="2" t="s">
        <v>1985</v>
      </c>
      <c r="R496" s="11">
        <f>SUBTOTAL(3,_xlfn.SINGLE(tbl_file[RowId]))</f>
        <v>1</v>
      </c>
    </row>
    <row r="497" spans="10:18">
      <c r="J497" s="4">
        <v>1877</v>
      </c>
      <c r="K497" s="21" t="str">
        <f>HYPERLINK("obsidian://open?vault=o2&amp;file=2024-Q4.md","2024-Q4")</f>
        <v>2024-Q4</v>
      </c>
      <c r="L497" s="20" t="s">
        <v>175</v>
      </c>
      <c r="M497" s="4"/>
      <c r="N497" s="2" t="s">
        <v>2606</v>
      </c>
      <c r="O497" s="2"/>
      <c r="P497" s="4">
        <v>1</v>
      </c>
      <c r="Q497" s="2" t="s">
        <v>2468</v>
      </c>
      <c r="R497" s="11">
        <f>SUBTOTAL(3,_xlfn.SINGLE(tbl_file[RowId]))</f>
        <v>1</v>
      </c>
    </row>
    <row r="498" spans="10:18">
      <c r="J498" s="4">
        <v>1882</v>
      </c>
      <c r="K498" s="21" t="str">
        <f>HYPERLINK("obsidian://open?vault=o2&amp;file=2024-W36.md","2024-W36")</f>
        <v>2024-W36</v>
      </c>
      <c r="L498" s="20" t="s">
        <v>175</v>
      </c>
      <c r="M498" s="4"/>
      <c r="N498" s="2" t="s">
        <v>133</v>
      </c>
      <c r="O498" s="2"/>
      <c r="P498" s="4">
        <v>1</v>
      </c>
      <c r="Q498" s="2" t="s">
        <v>3080</v>
      </c>
      <c r="R498" s="11">
        <f>SUBTOTAL(3,_xlfn.SINGLE(tbl_file[RowId]))</f>
        <v>1</v>
      </c>
    </row>
    <row r="499" spans="10:18">
      <c r="J499" s="4">
        <v>1888</v>
      </c>
      <c r="K499" s="21" t="str">
        <f>HYPERLINK("obsidian://open?vault=o2&amp;file=2025.md","2025")</f>
        <v>2025</v>
      </c>
      <c r="L499" s="20" t="s">
        <v>175</v>
      </c>
      <c r="M499" s="4"/>
      <c r="N499" s="2" t="s">
        <v>50</v>
      </c>
      <c r="O499" s="2"/>
      <c r="P499" s="4">
        <v>1</v>
      </c>
      <c r="Q499" s="2" t="s">
        <v>1710</v>
      </c>
      <c r="R499" s="11">
        <f>SUBTOTAL(3,_xlfn.SINGLE(tbl_file[RowId]))</f>
        <v>1</v>
      </c>
    </row>
    <row r="500" spans="10:18">
      <c r="J500" s="4">
        <v>1889</v>
      </c>
      <c r="K500" s="21" t="str">
        <f>HYPERLINK("obsidian://open?vault=o2&amp;file=2025.md","2025")</f>
        <v>2025</v>
      </c>
      <c r="L500" s="20" t="s">
        <v>175</v>
      </c>
      <c r="M500" s="4"/>
      <c r="N500" s="2" t="s">
        <v>2606</v>
      </c>
      <c r="O500" s="2"/>
      <c r="P500" s="4">
        <v>1</v>
      </c>
      <c r="Q500" s="2" t="s">
        <v>2469</v>
      </c>
      <c r="R500" s="11">
        <f>SUBTOTAL(3,_xlfn.SINGLE(tbl_file[RowId]))</f>
        <v>1</v>
      </c>
    </row>
    <row r="501" spans="10:18">
      <c r="J501" s="4">
        <v>1608</v>
      </c>
      <c r="K501" s="21" t="str">
        <f>HYPERLINK("obsidian://open?vault=o2&amp;file=2025-01-01.md","2025-01-01")</f>
        <v>2025-01-01</v>
      </c>
      <c r="L501" s="20" t="s">
        <v>175</v>
      </c>
      <c r="M501" s="4"/>
      <c r="N501" s="2" t="s">
        <v>2606</v>
      </c>
      <c r="O501" s="2"/>
      <c r="P501" s="4">
        <v>1</v>
      </c>
      <c r="Q501" s="2" t="s">
        <v>2317</v>
      </c>
      <c r="R501" s="11">
        <f>SUBTOTAL(3,_xlfn.SINGLE(tbl_file[RowId]))</f>
        <v>1</v>
      </c>
    </row>
    <row r="502" spans="10:18">
      <c r="J502" s="4">
        <v>1609</v>
      </c>
      <c r="K502" s="21" t="str">
        <f>HYPERLINK("obsidian://open?vault=o2&amp;file=2025-01-01.md","2025-01-01")</f>
        <v>2025-01-01</v>
      </c>
      <c r="L502" s="20" t="s">
        <v>175</v>
      </c>
      <c r="M502" s="4"/>
      <c r="N502" s="2" t="s">
        <v>133</v>
      </c>
      <c r="O502" s="2"/>
      <c r="P502" s="4">
        <v>1</v>
      </c>
      <c r="Q502" s="2" t="s">
        <v>2109</v>
      </c>
      <c r="R502" s="11">
        <f>SUBTOTAL(3,_xlfn.SINGLE(tbl_file[RowId]))</f>
        <v>1</v>
      </c>
    </row>
    <row r="503" spans="10:18">
      <c r="J503" s="4">
        <v>1610</v>
      </c>
      <c r="K503" s="21" t="str">
        <f>HYPERLINK("obsidian://open?vault=o2&amp;file=2025-01-02.md","2025-01-02")</f>
        <v>2025-01-02</v>
      </c>
      <c r="L503" s="20" t="s">
        <v>175</v>
      </c>
      <c r="M503" s="4"/>
      <c r="N503" s="2" t="s">
        <v>2606</v>
      </c>
      <c r="O503" s="2"/>
      <c r="P503" s="4">
        <v>1</v>
      </c>
      <c r="Q503" s="2" t="s">
        <v>2317</v>
      </c>
      <c r="R503" s="11">
        <f>SUBTOTAL(3,_xlfn.SINGLE(tbl_file[RowId]))</f>
        <v>1</v>
      </c>
    </row>
    <row r="504" spans="10:18">
      <c r="J504" s="4">
        <v>1611</v>
      </c>
      <c r="K504" s="21" t="str">
        <f>HYPERLINK("obsidian://open?vault=o2&amp;file=2025-01-02.md","2025-01-02")</f>
        <v>2025-01-02</v>
      </c>
      <c r="L504" s="20" t="s">
        <v>175</v>
      </c>
      <c r="M504" s="4"/>
      <c r="N504" s="2" t="s">
        <v>133</v>
      </c>
      <c r="O504" s="2"/>
      <c r="P504" s="4">
        <v>1</v>
      </c>
      <c r="Q504" s="2" t="s">
        <v>2109</v>
      </c>
      <c r="R504" s="11">
        <f>SUBTOTAL(3,_xlfn.SINGLE(tbl_file[RowId]))</f>
        <v>1</v>
      </c>
    </row>
    <row r="505" spans="10:18">
      <c r="J505" s="4">
        <v>1612</v>
      </c>
      <c r="K505" s="21" t="str">
        <f>HYPERLINK("obsidian://open?vault=o2&amp;file=2025-01-04.md","2025-01-04")</f>
        <v>2025-01-04</v>
      </c>
      <c r="L505" s="20" t="s">
        <v>175</v>
      </c>
      <c r="M505" s="4"/>
      <c r="N505" s="2" t="s">
        <v>2606</v>
      </c>
      <c r="O505" s="2"/>
      <c r="P505" s="4">
        <v>1</v>
      </c>
      <c r="Q505" s="2" t="s">
        <v>2317</v>
      </c>
      <c r="R505" s="11">
        <f>SUBTOTAL(3,_xlfn.SINGLE(tbl_file[RowId]))</f>
        <v>1</v>
      </c>
    </row>
    <row r="506" spans="10:18">
      <c r="J506" s="4">
        <v>1613</v>
      </c>
      <c r="K506" s="21" t="str">
        <f>HYPERLINK("obsidian://open?vault=o2&amp;file=2025-01-04.md","2025-01-04")</f>
        <v>2025-01-04</v>
      </c>
      <c r="L506" s="20" t="s">
        <v>175</v>
      </c>
      <c r="M506" s="4"/>
      <c r="N506" s="2" t="s">
        <v>133</v>
      </c>
      <c r="O506" s="2"/>
      <c r="P506" s="4">
        <v>1</v>
      </c>
      <c r="Q506" s="2" t="s">
        <v>2109</v>
      </c>
      <c r="R506" s="11">
        <f>SUBTOTAL(3,_xlfn.SINGLE(tbl_file[RowId]))</f>
        <v>1</v>
      </c>
    </row>
    <row r="507" spans="10:18">
      <c r="J507" s="4">
        <v>1614</v>
      </c>
      <c r="K507" s="21" t="str">
        <f>HYPERLINK("obsidian://open?vault=o2&amp;file=2025-01-05.md","2025-01-05")</f>
        <v>2025-01-05</v>
      </c>
      <c r="L507" s="20" t="s">
        <v>175</v>
      </c>
      <c r="M507" s="4"/>
      <c r="N507" s="2" t="s">
        <v>2606</v>
      </c>
      <c r="O507" s="2"/>
      <c r="P507" s="4">
        <v>1</v>
      </c>
      <c r="Q507" s="2" t="s">
        <v>2317</v>
      </c>
      <c r="R507" s="11">
        <f>SUBTOTAL(3,_xlfn.SINGLE(tbl_file[RowId]))</f>
        <v>1</v>
      </c>
    </row>
    <row r="508" spans="10:18">
      <c r="J508" s="4">
        <v>1615</v>
      </c>
      <c r="K508" s="21" t="str">
        <f>HYPERLINK("obsidian://open?vault=o2&amp;file=2025-01-05.md","2025-01-05")</f>
        <v>2025-01-05</v>
      </c>
      <c r="L508" s="20" t="s">
        <v>175</v>
      </c>
      <c r="M508" s="4"/>
      <c r="N508" s="2" t="s">
        <v>133</v>
      </c>
      <c r="O508" s="2"/>
      <c r="P508" s="4">
        <v>1</v>
      </c>
      <c r="Q508" s="2" t="s">
        <v>2109</v>
      </c>
      <c r="R508" s="11">
        <f>SUBTOTAL(3,_xlfn.SINGLE(tbl_file[RowId]))</f>
        <v>1</v>
      </c>
    </row>
    <row r="509" spans="10:18">
      <c r="J509" s="4">
        <v>1616</v>
      </c>
      <c r="K509" s="21" t="str">
        <f>HYPERLINK("obsidian://open?vault=o2&amp;file=2025-01-07.md","2025-01-07")</f>
        <v>2025-01-07</v>
      </c>
      <c r="L509" s="20" t="s">
        <v>175</v>
      </c>
      <c r="M509" s="4"/>
      <c r="N509" s="2" t="s">
        <v>2606</v>
      </c>
      <c r="O509" s="2"/>
      <c r="P509" s="4">
        <v>1</v>
      </c>
      <c r="Q509" s="2" t="s">
        <v>2317</v>
      </c>
      <c r="R509" s="11">
        <f>SUBTOTAL(3,_xlfn.SINGLE(tbl_file[RowId]))</f>
        <v>1</v>
      </c>
    </row>
    <row r="510" spans="10:18">
      <c r="J510" s="4">
        <v>1617</v>
      </c>
      <c r="K510" s="21" t="str">
        <f>HYPERLINK("obsidian://open?vault=o2&amp;file=2025-01-07.md","2025-01-07")</f>
        <v>2025-01-07</v>
      </c>
      <c r="L510" s="20" t="s">
        <v>175</v>
      </c>
      <c r="M510" s="4"/>
      <c r="N510" s="2" t="s">
        <v>133</v>
      </c>
      <c r="O510" s="2"/>
      <c r="P510" s="4">
        <v>1</v>
      </c>
      <c r="Q510" s="2" t="s">
        <v>2109</v>
      </c>
      <c r="R510" s="11">
        <f>SUBTOTAL(3,_xlfn.SINGLE(tbl_file[RowId]))</f>
        <v>1</v>
      </c>
    </row>
    <row r="511" spans="10:18">
      <c r="J511" s="4">
        <v>1618</v>
      </c>
      <c r="K511" s="21" t="str">
        <f>HYPERLINK("obsidian://open?vault=o2&amp;file=2025-01-08.md","2025-01-08")</f>
        <v>2025-01-08</v>
      </c>
      <c r="L511" s="20" t="s">
        <v>175</v>
      </c>
      <c r="M511" s="4"/>
      <c r="N511" s="2" t="s">
        <v>2606</v>
      </c>
      <c r="O511" s="2"/>
      <c r="P511" s="4">
        <v>1</v>
      </c>
      <c r="Q511" s="2" t="s">
        <v>2317</v>
      </c>
      <c r="R511" s="11">
        <f>SUBTOTAL(3,_xlfn.SINGLE(tbl_file[RowId]))</f>
        <v>1</v>
      </c>
    </row>
    <row r="512" spans="10:18">
      <c r="J512" s="4">
        <v>1619</v>
      </c>
      <c r="K512" s="21" t="str">
        <f>HYPERLINK("obsidian://open?vault=o2&amp;file=2025-01-08.md","2025-01-08")</f>
        <v>2025-01-08</v>
      </c>
      <c r="L512" s="20" t="s">
        <v>175</v>
      </c>
      <c r="M512" s="4"/>
      <c r="N512" s="2" t="s">
        <v>133</v>
      </c>
      <c r="O512" s="2"/>
      <c r="P512" s="4">
        <v>1</v>
      </c>
      <c r="Q512" s="2" t="s">
        <v>2109</v>
      </c>
      <c r="R512" s="11">
        <f>SUBTOTAL(3,_xlfn.SINGLE(tbl_file[RowId]))</f>
        <v>1</v>
      </c>
    </row>
    <row r="513" spans="10:18">
      <c r="J513" s="4">
        <v>1620</v>
      </c>
      <c r="K513" s="21" t="str">
        <f>HYPERLINK("obsidian://open?vault=o2&amp;file=2025-01-09.md","2025-01-09")</f>
        <v>2025-01-09</v>
      </c>
      <c r="L513" s="20" t="s">
        <v>175</v>
      </c>
      <c r="M513" s="4"/>
      <c r="N513" s="2" t="s">
        <v>2606</v>
      </c>
      <c r="O513" s="2"/>
      <c r="P513" s="4">
        <v>1</v>
      </c>
      <c r="Q513" s="2" t="s">
        <v>2317</v>
      </c>
      <c r="R513" s="11">
        <f>SUBTOTAL(3,_xlfn.SINGLE(tbl_file[RowId]))</f>
        <v>1</v>
      </c>
    </row>
    <row r="514" spans="10:18">
      <c r="J514" s="4">
        <v>1621</v>
      </c>
      <c r="K514" s="21" t="str">
        <f>HYPERLINK("obsidian://open?vault=o2&amp;file=2025-01-09.md","2025-01-09")</f>
        <v>2025-01-09</v>
      </c>
      <c r="L514" s="20" t="s">
        <v>175</v>
      </c>
      <c r="M514" s="4"/>
      <c r="N514" s="2" t="s">
        <v>133</v>
      </c>
      <c r="O514" s="2"/>
      <c r="P514" s="4">
        <v>1</v>
      </c>
      <c r="Q514" s="2" t="s">
        <v>2109</v>
      </c>
      <c r="R514" s="11">
        <f>SUBTOTAL(3,_xlfn.SINGLE(tbl_file[RowId]))</f>
        <v>1</v>
      </c>
    </row>
    <row r="515" spans="10:18">
      <c r="J515" s="4">
        <v>1622</v>
      </c>
      <c r="K515" s="21" t="str">
        <f>HYPERLINK("obsidian://open?vault=o2&amp;file=2025-01-10.md","2025-01-10")</f>
        <v>2025-01-10</v>
      </c>
      <c r="L515" s="20" t="s">
        <v>175</v>
      </c>
      <c r="M515" s="4"/>
      <c r="N515" s="2" t="s">
        <v>2606</v>
      </c>
      <c r="O515" s="2"/>
      <c r="P515" s="4">
        <v>1</v>
      </c>
      <c r="Q515" s="2" t="s">
        <v>2317</v>
      </c>
      <c r="R515" s="11">
        <f>SUBTOTAL(3,_xlfn.SINGLE(tbl_file[RowId]))</f>
        <v>1</v>
      </c>
    </row>
    <row r="516" spans="10:18">
      <c r="J516" s="4">
        <v>1623</v>
      </c>
      <c r="K516" s="21" t="str">
        <f>HYPERLINK("obsidian://open?vault=o2&amp;file=2025-01-10.md","2025-01-10")</f>
        <v>2025-01-10</v>
      </c>
      <c r="L516" s="20" t="s">
        <v>175</v>
      </c>
      <c r="M516" s="4"/>
      <c r="N516" s="2" t="s">
        <v>133</v>
      </c>
      <c r="O516" s="2"/>
      <c r="P516" s="4">
        <v>1</v>
      </c>
      <c r="Q516" s="2" t="s">
        <v>2109</v>
      </c>
      <c r="R516" s="11">
        <f>SUBTOTAL(3,_xlfn.SINGLE(tbl_file[RowId]))</f>
        <v>1</v>
      </c>
    </row>
    <row r="517" spans="10:18">
      <c r="J517" s="4">
        <v>1624</v>
      </c>
      <c r="K517" s="21" t="str">
        <f>HYPERLINK("obsidian://open?vault=o2&amp;file=2025-01-11.md","2025-01-11")</f>
        <v>2025-01-11</v>
      </c>
      <c r="L517" s="20" t="s">
        <v>175</v>
      </c>
      <c r="M517" s="4"/>
      <c r="N517" s="2" t="s">
        <v>2606</v>
      </c>
      <c r="O517" s="2"/>
      <c r="P517" s="4">
        <v>1</v>
      </c>
      <c r="Q517" s="2" t="s">
        <v>2317</v>
      </c>
      <c r="R517" s="11">
        <f>SUBTOTAL(3,_xlfn.SINGLE(tbl_file[RowId]))</f>
        <v>1</v>
      </c>
    </row>
    <row r="518" spans="10:18">
      <c r="J518" s="4">
        <v>1625</v>
      </c>
      <c r="K518" s="21" t="str">
        <f>HYPERLINK("obsidian://open?vault=o2&amp;file=2025-01-11.md","2025-01-11")</f>
        <v>2025-01-11</v>
      </c>
      <c r="L518" s="20" t="s">
        <v>175</v>
      </c>
      <c r="M518" s="4"/>
      <c r="N518" s="2" t="s">
        <v>133</v>
      </c>
      <c r="O518" s="2"/>
      <c r="P518" s="4">
        <v>1</v>
      </c>
      <c r="Q518" s="2" t="s">
        <v>2109</v>
      </c>
      <c r="R518" s="11">
        <f>SUBTOTAL(3,_xlfn.SINGLE(tbl_file[RowId]))</f>
        <v>1</v>
      </c>
    </row>
    <row r="519" spans="10:18">
      <c r="J519" s="4">
        <v>1626</v>
      </c>
      <c r="K519" s="21" t="str">
        <f>HYPERLINK("obsidian://open?vault=o2&amp;file=2025-01-12.md","2025-01-12")</f>
        <v>2025-01-12</v>
      </c>
      <c r="L519" s="20" t="s">
        <v>175</v>
      </c>
      <c r="M519" s="4"/>
      <c r="N519" s="2" t="s">
        <v>2606</v>
      </c>
      <c r="O519" s="2"/>
      <c r="P519" s="4">
        <v>1</v>
      </c>
      <c r="Q519" s="2" t="s">
        <v>2317</v>
      </c>
      <c r="R519" s="11">
        <f>SUBTOTAL(3,_xlfn.SINGLE(tbl_file[RowId]))</f>
        <v>1</v>
      </c>
    </row>
    <row r="520" spans="10:18">
      <c r="J520" s="4">
        <v>1627</v>
      </c>
      <c r="K520" s="21" t="str">
        <f>HYPERLINK("obsidian://open?vault=o2&amp;file=2025-01-12.md","2025-01-12")</f>
        <v>2025-01-12</v>
      </c>
      <c r="L520" s="20" t="s">
        <v>175</v>
      </c>
      <c r="M520" s="4"/>
      <c r="N520" s="2" t="s">
        <v>133</v>
      </c>
      <c r="O520" s="2"/>
      <c r="P520" s="4">
        <v>1</v>
      </c>
      <c r="Q520" s="2" t="s">
        <v>2109</v>
      </c>
      <c r="R520" s="11">
        <f>SUBTOTAL(3,_xlfn.SINGLE(tbl_file[RowId]))</f>
        <v>1</v>
      </c>
    </row>
    <row r="521" spans="10:18">
      <c r="J521" s="4">
        <v>1628</v>
      </c>
      <c r="K521" s="21" t="str">
        <f>HYPERLINK("obsidian://open?vault=o2&amp;file=2025-01-13.md","2025-01-13")</f>
        <v>2025-01-13</v>
      </c>
      <c r="L521" s="20" t="s">
        <v>175</v>
      </c>
      <c r="M521" s="4"/>
      <c r="N521" s="2" t="s">
        <v>2606</v>
      </c>
      <c r="O521" s="2"/>
      <c r="P521" s="4">
        <v>1</v>
      </c>
      <c r="Q521" s="2" t="s">
        <v>2317</v>
      </c>
      <c r="R521" s="11">
        <f>SUBTOTAL(3,_xlfn.SINGLE(tbl_file[RowId]))</f>
        <v>1</v>
      </c>
    </row>
    <row r="522" spans="10:18">
      <c r="J522" s="4">
        <v>1629</v>
      </c>
      <c r="K522" s="21" t="str">
        <f>HYPERLINK("obsidian://open?vault=o2&amp;file=2025-01-13.md","2025-01-13")</f>
        <v>2025-01-13</v>
      </c>
      <c r="L522" s="20" t="s">
        <v>175</v>
      </c>
      <c r="M522" s="4"/>
      <c r="N522" s="2" t="s">
        <v>133</v>
      </c>
      <c r="O522" s="2"/>
      <c r="P522" s="4">
        <v>1</v>
      </c>
      <c r="Q522" s="2" t="s">
        <v>2109</v>
      </c>
      <c r="R522" s="11">
        <f>SUBTOTAL(3,_xlfn.SINGLE(tbl_file[RowId]))</f>
        <v>1</v>
      </c>
    </row>
    <row r="523" spans="10:18">
      <c r="J523" s="4">
        <v>1630</v>
      </c>
      <c r="K523" s="21" t="str">
        <f>HYPERLINK("obsidian://open?vault=o2&amp;file=2025-01-14.md","2025-01-14")</f>
        <v>2025-01-14</v>
      </c>
      <c r="L523" s="20" t="s">
        <v>175</v>
      </c>
      <c r="M523" s="4"/>
      <c r="N523" s="2" t="s">
        <v>2606</v>
      </c>
      <c r="O523" s="2"/>
      <c r="P523" s="4">
        <v>1</v>
      </c>
      <c r="Q523" s="2" t="s">
        <v>2317</v>
      </c>
      <c r="R523" s="11">
        <f>SUBTOTAL(3,_xlfn.SINGLE(tbl_file[RowId]))</f>
        <v>1</v>
      </c>
    </row>
    <row r="524" spans="10:18">
      <c r="J524" s="4">
        <v>1631</v>
      </c>
      <c r="K524" s="21" t="str">
        <f>HYPERLINK("obsidian://open?vault=o2&amp;file=2025-01-14.md","2025-01-14")</f>
        <v>2025-01-14</v>
      </c>
      <c r="L524" s="20" t="s">
        <v>175</v>
      </c>
      <c r="M524" s="4"/>
      <c r="N524" s="2" t="s">
        <v>133</v>
      </c>
      <c r="O524" s="2"/>
      <c r="P524" s="4">
        <v>1</v>
      </c>
      <c r="Q524" s="2" t="s">
        <v>2109</v>
      </c>
      <c r="R524" s="11">
        <f>SUBTOTAL(3,_xlfn.SINGLE(tbl_file[RowId]))</f>
        <v>1</v>
      </c>
    </row>
    <row r="525" spans="10:18">
      <c r="J525" s="4">
        <v>1632</v>
      </c>
      <c r="K525" s="21" t="str">
        <f>HYPERLINK("obsidian://open?vault=o2&amp;file=2025-01-15.md","2025-01-15")</f>
        <v>2025-01-15</v>
      </c>
      <c r="L525" s="20" t="s">
        <v>175</v>
      </c>
      <c r="M525" s="4"/>
      <c r="N525" s="2" t="s">
        <v>2606</v>
      </c>
      <c r="O525" s="2"/>
      <c r="P525" s="4">
        <v>1</v>
      </c>
      <c r="Q525" s="2" t="s">
        <v>2317</v>
      </c>
      <c r="R525" s="11">
        <f>SUBTOTAL(3,_xlfn.SINGLE(tbl_file[RowId]))</f>
        <v>1</v>
      </c>
    </row>
    <row r="526" spans="10:18">
      <c r="J526" s="4">
        <v>1633</v>
      </c>
      <c r="K526" s="21" t="str">
        <f>HYPERLINK("obsidian://open?vault=o2&amp;file=2025-01-15.md","2025-01-15")</f>
        <v>2025-01-15</v>
      </c>
      <c r="L526" s="20" t="s">
        <v>175</v>
      </c>
      <c r="M526" s="4"/>
      <c r="N526" s="2" t="s">
        <v>133</v>
      </c>
      <c r="O526" s="2"/>
      <c r="P526" s="4">
        <v>1</v>
      </c>
      <c r="Q526" s="2" t="s">
        <v>2109</v>
      </c>
      <c r="R526" s="11">
        <f>SUBTOTAL(3,_xlfn.SINGLE(tbl_file[RowId]))</f>
        <v>1</v>
      </c>
    </row>
    <row r="527" spans="10:18">
      <c r="J527" s="4">
        <v>1634</v>
      </c>
      <c r="K527" s="21" t="str">
        <f>HYPERLINK("obsidian://open?vault=o2&amp;file=2025-01-16.md","2025-01-16")</f>
        <v>2025-01-16</v>
      </c>
      <c r="L527" s="20" t="s">
        <v>175</v>
      </c>
      <c r="M527" s="4"/>
      <c r="N527" s="2" t="s">
        <v>2606</v>
      </c>
      <c r="O527" s="2"/>
      <c r="P527" s="4">
        <v>1</v>
      </c>
      <c r="Q527" s="2" t="s">
        <v>2317</v>
      </c>
      <c r="R527" s="11">
        <f>SUBTOTAL(3,_xlfn.SINGLE(tbl_file[RowId]))</f>
        <v>1</v>
      </c>
    </row>
    <row r="528" spans="10:18">
      <c r="J528" s="4">
        <v>1635</v>
      </c>
      <c r="K528" s="21" t="str">
        <f>HYPERLINK("obsidian://open?vault=o2&amp;file=2025-01-16.md","2025-01-16")</f>
        <v>2025-01-16</v>
      </c>
      <c r="L528" s="20" t="s">
        <v>175</v>
      </c>
      <c r="M528" s="4"/>
      <c r="N528" s="2" t="s">
        <v>133</v>
      </c>
      <c r="O528" s="2"/>
      <c r="P528" s="4">
        <v>1</v>
      </c>
      <c r="Q528" s="2" t="s">
        <v>2109</v>
      </c>
      <c r="R528" s="11">
        <f>SUBTOTAL(3,_xlfn.SINGLE(tbl_file[RowId]))</f>
        <v>1</v>
      </c>
    </row>
    <row r="529" spans="10:18">
      <c r="J529" s="4">
        <v>1636</v>
      </c>
      <c r="K529" s="21" t="str">
        <f>HYPERLINK("obsidian://open?vault=o2&amp;file=2025-01-19.md","2025-01-19")</f>
        <v>2025-01-19</v>
      </c>
      <c r="L529" s="20" t="s">
        <v>175</v>
      </c>
      <c r="M529" s="4"/>
      <c r="N529" s="2" t="s">
        <v>2606</v>
      </c>
      <c r="O529" s="2"/>
      <c r="P529" s="4">
        <v>1</v>
      </c>
      <c r="Q529" s="2" t="s">
        <v>2317</v>
      </c>
      <c r="R529" s="11">
        <f>SUBTOTAL(3,_xlfn.SINGLE(tbl_file[RowId]))</f>
        <v>1</v>
      </c>
    </row>
    <row r="530" spans="10:18">
      <c r="J530" s="4">
        <v>1637</v>
      </c>
      <c r="K530" s="21" t="str">
        <f>HYPERLINK("obsidian://open?vault=o2&amp;file=2025-01-19.md","2025-01-19")</f>
        <v>2025-01-19</v>
      </c>
      <c r="L530" s="20" t="s">
        <v>175</v>
      </c>
      <c r="M530" s="4"/>
      <c r="N530" s="2" t="s">
        <v>133</v>
      </c>
      <c r="O530" s="2"/>
      <c r="P530" s="4">
        <v>1</v>
      </c>
      <c r="Q530" s="2" t="s">
        <v>2109</v>
      </c>
      <c r="R530" s="11">
        <f>SUBTOTAL(3,_xlfn.SINGLE(tbl_file[RowId]))</f>
        <v>1</v>
      </c>
    </row>
    <row r="531" spans="10:18">
      <c r="J531" s="4">
        <v>1638</v>
      </c>
      <c r="K531" s="21" t="str">
        <f>HYPERLINK("obsidian://open?vault=o2&amp;file=2025-01-20.md","2025-01-20")</f>
        <v>2025-01-20</v>
      </c>
      <c r="L531" s="20" t="s">
        <v>175</v>
      </c>
      <c r="M531" s="4"/>
      <c r="N531" s="2" t="s">
        <v>2606</v>
      </c>
      <c r="O531" s="2"/>
      <c r="P531" s="4">
        <v>1</v>
      </c>
      <c r="Q531" s="2" t="s">
        <v>2317</v>
      </c>
      <c r="R531" s="11">
        <f>SUBTOTAL(3,_xlfn.SINGLE(tbl_file[RowId]))</f>
        <v>1</v>
      </c>
    </row>
    <row r="532" spans="10:18">
      <c r="J532" s="4">
        <v>1639</v>
      </c>
      <c r="K532" s="21" t="str">
        <f>HYPERLINK("obsidian://open?vault=o2&amp;file=2025-01-20.md","2025-01-20")</f>
        <v>2025-01-20</v>
      </c>
      <c r="L532" s="20" t="s">
        <v>175</v>
      </c>
      <c r="M532" s="4"/>
      <c r="N532" s="2" t="s">
        <v>133</v>
      </c>
      <c r="O532" s="2"/>
      <c r="P532" s="4">
        <v>1</v>
      </c>
      <c r="Q532" s="2" t="s">
        <v>2109</v>
      </c>
      <c r="R532" s="11">
        <f>SUBTOTAL(3,_xlfn.SINGLE(tbl_file[RowId]))</f>
        <v>1</v>
      </c>
    </row>
    <row r="533" spans="10:18">
      <c r="J533" s="4">
        <v>1640</v>
      </c>
      <c r="K533" s="21" t="str">
        <f>HYPERLINK("obsidian://open?vault=o2&amp;file=2025-01-21.md","2025-01-21")</f>
        <v>2025-01-21</v>
      </c>
      <c r="L533" s="20" t="s">
        <v>175</v>
      </c>
      <c r="M533" s="4"/>
      <c r="N533" s="2" t="s">
        <v>2606</v>
      </c>
      <c r="O533" s="2"/>
      <c r="P533" s="4">
        <v>1</v>
      </c>
      <c r="Q533" s="2" t="s">
        <v>2317</v>
      </c>
      <c r="R533" s="11">
        <f>SUBTOTAL(3,_xlfn.SINGLE(tbl_file[RowId]))</f>
        <v>1</v>
      </c>
    </row>
    <row r="534" spans="10:18">
      <c r="J534" s="4">
        <v>1641</v>
      </c>
      <c r="K534" s="21" t="str">
        <f>HYPERLINK("obsidian://open?vault=o2&amp;file=2025-01-21.md","2025-01-21")</f>
        <v>2025-01-21</v>
      </c>
      <c r="L534" s="20" t="s">
        <v>175</v>
      </c>
      <c r="M534" s="4"/>
      <c r="N534" s="2" t="s">
        <v>133</v>
      </c>
      <c r="O534" s="2"/>
      <c r="P534" s="4">
        <v>1</v>
      </c>
      <c r="Q534" s="2" t="s">
        <v>2109</v>
      </c>
      <c r="R534" s="11">
        <f>SUBTOTAL(3,_xlfn.SINGLE(tbl_file[RowId]))</f>
        <v>1</v>
      </c>
    </row>
    <row r="535" spans="10:18">
      <c r="J535" s="4">
        <v>1642</v>
      </c>
      <c r="K535" s="21" t="str">
        <f>HYPERLINK("obsidian://open?vault=o2&amp;file=2025-01-22.md","2025-01-22")</f>
        <v>2025-01-22</v>
      </c>
      <c r="L535" s="20" t="s">
        <v>175</v>
      </c>
      <c r="M535" s="4"/>
      <c r="N535" s="2" t="s">
        <v>2606</v>
      </c>
      <c r="O535" s="2"/>
      <c r="P535" s="4">
        <v>1</v>
      </c>
      <c r="Q535" s="2" t="s">
        <v>2317</v>
      </c>
      <c r="R535" s="11">
        <f>SUBTOTAL(3,_xlfn.SINGLE(tbl_file[RowId]))</f>
        <v>1</v>
      </c>
    </row>
    <row r="536" spans="10:18">
      <c r="J536" s="4">
        <v>1643</v>
      </c>
      <c r="K536" s="21" t="str">
        <f>HYPERLINK("obsidian://open?vault=o2&amp;file=2025-01-22.md","2025-01-22")</f>
        <v>2025-01-22</v>
      </c>
      <c r="L536" s="20" t="s">
        <v>175</v>
      </c>
      <c r="M536" s="4"/>
      <c r="N536" s="2" t="s">
        <v>133</v>
      </c>
      <c r="O536" s="2"/>
      <c r="P536" s="4">
        <v>1</v>
      </c>
      <c r="Q536" s="2" t="s">
        <v>2109</v>
      </c>
      <c r="R536" s="11">
        <f>SUBTOTAL(3,_xlfn.SINGLE(tbl_file[RowId]))</f>
        <v>1</v>
      </c>
    </row>
    <row r="537" spans="10:18">
      <c r="J537" s="4">
        <v>1644</v>
      </c>
      <c r="K537" s="21" t="str">
        <f>HYPERLINK("obsidian://open?vault=o2&amp;file=2025-01-23.md","2025-01-23")</f>
        <v>2025-01-23</v>
      </c>
      <c r="L537" s="20" t="s">
        <v>175</v>
      </c>
      <c r="M537" s="4"/>
      <c r="N537" s="2" t="s">
        <v>2606</v>
      </c>
      <c r="O537" s="2"/>
      <c r="P537" s="4">
        <v>1</v>
      </c>
      <c r="Q537" s="2" t="s">
        <v>2317</v>
      </c>
      <c r="R537" s="11">
        <f>SUBTOTAL(3,_xlfn.SINGLE(tbl_file[RowId]))</f>
        <v>1</v>
      </c>
    </row>
    <row r="538" spans="10:18">
      <c r="J538" s="4">
        <v>1645</v>
      </c>
      <c r="K538" s="21" t="str">
        <f>HYPERLINK("obsidian://open?vault=o2&amp;file=2025-01-23.md","2025-01-23")</f>
        <v>2025-01-23</v>
      </c>
      <c r="L538" s="20" t="s">
        <v>175</v>
      </c>
      <c r="M538" s="4"/>
      <c r="N538" s="2" t="s">
        <v>133</v>
      </c>
      <c r="O538" s="2"/>
      <c r="P538" s="4">
        <v>1</v>
      </c>
      <c r="Q538" s="2" t="s">
        <v>2109</v>
      </c>
      <c r="R538" s="11">
        <f>SUBTOTAL(3,_xlfn.SINGLE(tbl_file[RowId]))</f>
        <v>1</v>
      </c>
    </row>
    <row r="539" spans="10:18">
      <c r="J539" s="4">
        <v>1646</v>
      </c>
      <c r="K539" s="21" t="str">
        <f>HYPERLINK("obsidian://open?vault=o2&amp;file=2025-01-26.md","2025-01-26")</f>
        <v>2025-01-26</v>
      </c>
      <c r="L539" s="20" t="s">
        <v>175</v>
      </c>
      <c r="M539" s="4"/>
      <c r="N539" s="2" t="s">
        <v>2606</v>
      </c>
      <c r="O539" s="2"/>
      <c r="P539" s="4">
        <v>1</v>
      </c>
      <c r="Q539" s="2" t="s">
        <v>2317</v>
      </c>
      <c r="R539" s="11">
        <f>SUBTOTAL(3,_xlfn.SINGLE(tbl_file[RowId]))</f>
        <v>1</v>
      </c>
    </row>
    <row r="540" spans="10:18">
      <c r="J540" s="4">
        <v>1647</v>
      </c>
      <c r="K540" s="21" t="str">
        <f>HYPERLINK("obsidian://open?vault=o2&amp;file=2025-01-26.md","2025-01-26")</f>
        <v>2025-01-26</v>
      </c>
      <c r="L540" s="20" t="s">
        <v>175</v>
      </c>
      <c r="M540" s="4"/>
      <c r="N540" s="2" t="s">
        <v>133</v>
      </c>
      <c r="O540" s="2"/>
      <c r="P540" s="4">
        <v>1</v>
      </c>
      <c r="Q540" s="2" t="s">
        <v>2109</v>
      </c>
      <c r="R540" s="11">
        <f>SUBTOTAL(3,_xlfn.SINGLE(tbl_file[RowId]))</f>
        <v>1</v>
      </c>
    </row>
    <row r="541" spans="10:18">
      <c r="J541" s="4">
        <v>1648</v>
      </c>
      <c r="K541" s="21" t="str">
        <f>HYPERLINK("obsidian://open?vault=o2&amp;file=2025-01-27.md","2025-01-27")</f>
        <v>2025-01-27</v>
      </c>
      <c r="L541" s="20" t="s">
        <v>175</v>
      </c>
      <c r="M541" s="4"/>
      <c r="N541" s="2" t="s">
        <v>2606</v>
      </c>
      <c r="O541" s="2"/>
      <c r="P541" s="4">
        <v>1</v>
      </c>
      <c r="Q541" s="2" t="s">
        <v>2317</v>
      </c>
      <c r="R541" s="11">
        <f>SUBTOTAL(3,_xlfn.SINGLE(tbl_file[RowId]))</f>
        <v>1</v>
      </c>
    </row>
    <row r="542" spans="10:18">
      <c r="J542" s="4">
        <v>1649</v>
      </c>
      <c r="K542" s="21" t="str">
        <f>HYPERLINK("obsidian://open?vault=o2&amp;file=2025-01-27.md","2025-01-27")</f>
        <v>2025-01-27</v>
      </c>
      <c r="L542" s="20" t="s">
        <v>175</v>
      </c>
      <c r="M542" s="4"/>
      <c r="N542" s="2" t="s">
        <v>133</v>
      </c>
      <c r="O542" s="2"/>
      <c r="P542" s="4">
        <v>1</v>
      </c>
      <c r="Q542" s="2" t="s">
        <v>2109</v>
      </c>
      <c r="R542" s="11">
        <f>SUBTOTAL(3,_xlfn.SINGLE(tbl_file[RowId]))</f>
        <v>1</v>
      </c>
    </row>
    <row r="543" spans="10:18">
      <c r="J543" s="4">
        <v>1650</v>
      </c>
      <c r="K543" s="21" t="str">
        <f>HYPERLINK("obsidian://open?vault=o2&amp;file=2025-01-27.md","2025-01-27")</f>
        <v>2025-01-27</v>
      </c>
      <c r="L543" s="20" t="s">
        <v>175</v>
      </c>
      <c r="M543" s="4" t="s">
        <v>2626</v>
      </c>
      <c r="N543" s="2" t="s">
        <v>2606</v>
      </c>
      <c r="O543" s="2"/>
      <c r="P543" s="4">
        <v>10</v>
      </c>
      <c r="Q543" s="2" t="s">
        <v>3027</v>
      </c>
      <c r="R543" s="11">
        <f>SUBTOTAL(3,_xlfn.SINGLE(tbl_file[RowId]))</f>
        <v>1</v>
      </c>
    </row>
    <row r="544" spans="10:18">
      <c r="J544" s="4">
        <v>1651</v>
      </c>
      <c r="K544" s="21" t="str">
        <f>HYPERLINK("obsidian://open?vault=o2&amp;file=2025-01-28.md","2025-01-28")</f>
        <v>2025-01-28</v>
      </c>
      <c r="L544" s="20" t="s">
        <v>175</v>
      </c>
      <c r="M544" s="4"/>
      <c r="N544" s="2" t="s">
        <v>2606</v>
      </c>
      <c r="O544" s="2"/>
      <c r="P544" s="4">
        <v>1</v>
      </c>
      <c r="Q544" s="2" t="s">
        <v>2317</v>
      </c>
      <c r="R544" s="11">
        <f>SUBTOTAL(3,_xlfn.SINGLE(tbl_file[RowId]))</f>
        <v>1</v>
      </c>
    </row>
    <row r="545" spans="10:18">
      <c r="J545" s="4">
        <v>1652</v>
      </c>
      <c r="K545" s="21" t="str">
        <f>HYPERLINK("obsidian://open?vault=o2&amp;file=2025-01-28.md","2025-01-28")</f>
        <v>2025-01-28</v>
      </c>
      <c r="L545" s="20" t="s">
        <v>175</v>
      </c>
      <c r="M545" s="4"/>
      <c r="N545" s="2" t="s">
        <v>133</v>
      </c>
      <c r="O545" s="2"/>
      <c r="P545" s="4">
        <v>1</v>
      </c>
      <c r="Q545" s="2" t="s">
        <v>2109</v>
      </c>
      <c r="R545" s="11">
        <f>SUBTOTAL(3,_xlfn.SINGLE(tbl_file[RowId]))</f>
        <v>1</v>
      </c>
    </row>
    <row r="546" spans="10:18">
      <c r="J546" s="4">
        <v>1653</v>
      </c>
      <c r="K546" s="21" t="str">
        <f>HYPERLINK("obsidian://open?vault=o2&amp;file=2025-01-29.md","2025-01-29")</f>
        <v>2025-01-29</v>
      </c>
      <c r="L546" s="20" t="s">
        <v>175</v>
      </c>
      <c r="M546" s="4"/>
      <c r="N546" s="2" t="s">
        <v>2606</v>
      </c>
      <c r="O546" s="2"/>
      <c r="P546" s="4">
        <v>1</v>
      </c>
      <c r="Q546" s="2" t="s">
        <v>2317</v>
      </c>
      <c r="R546" s="11">
        <f>SUBTOTAL(3,_xlfn.SINGLE(tbl_file[RowId]))</f>
        <v>1</v>
      </c>
    </row>
    <row r="547" spans="10:18">
      <c r="J547" s="4">
        <v>1654</v>
      </c>
      <c r="K547" s="21" t="str">
        <f>HYPERLINK("obsidian://open?vault=o2&amp;file=2025-01-29.md","2025-01-29")</f>
        <v>2025-01-29</v>
      </c>
      <c r="L547" s="20" t="s">
        <v>175</v>
      </c>
      <c r="M547" s="4"/>
      <c r="N547" s="2" t="s">
        <v>133</v>
      </c>
      <c r="O547" s="2"/>
      <c r="P547" s="4">
        <v>1</v>
      </c>
      <c r="Q547" s="2" t="s">
        <v>2109</v>
      </c>
      <c r="R547" s="11">
        <f>SUBTOTAL(3,_xlfn.SINGLE(tbl_file[RowId]))</f>
        <v>1</v>
      </c>
    </row>
    <row r="548" spans="10:18">
      <c r="J548" s="4">
        <v>1655</v>
      </c>
      <c r="K548" s="21" t="str">
        <f>HYPERLINK("obsidian://open?vault=o2&amp;file=2025-01-31.md","2025-01-31")</f>
        <v>2025-01-31</v>
      </c>
      <c r="L548" s="20" t="s">
        <v>175</v>
      </c>
      <c r="M548" s="4"/>
      <c r="N548" s="2" t="s">
        <v>35</v>
      </c>
      <c r="O548" s="2"/>
      <c r="P548" s="4">
        <v>1</v>
      </c>
      <c r="Q548" s="2" t="s">
        <v>2134</v>
      </c>
      <c r="R548" s="11">
        <f>SUBTOTAL(3,_xlfn.SINGLE(tbl_file[RowId]))</f>
        <v>1</v>
      </c>
    </row>
    <row r="549" spans="10:18">
      <c r="J549" s="4">
        <v>1656</v>
      </c>
      <c r="K549" s="21" t="str">
        <f>HYPERLINK("obsidian://open?vault=o2&amp;file=2025-01-31.md","2025-01-31")</f>
        <v>2025-01-31</v>
      </c>
      <c r="L549" s="20" t="s">
        <v>175</v>
      </c>
      <c r="M549" s="4"/>
      <c r="N549" s="2" t="s">
        <v>2606</v>
      </c>
      <c r="O549" s="2"/>
      <c r="P549" s="4">
        <v>1</v>
      </c>
      <c r="Q549" s="2" t="s">
        <v>2317</v>
      </c>
      <c r="R549" s="11">
        <f>SUBTOTAL(3,_xlfn.SINGLE(tbl_file[RowId]))</f>
        <v>1</v>
      </c>
    </row>
    <row r="550" spans="10:18">
      <c r="J550" s="4">
        <v>1657</v>
      </c>
      <c r="K550" s="21" t="str">
        <f>HYPERLINK("obsidian://open?vault=o2&amp;file=2025-01-31.md","2025-01-31")</f>
        <v>2025-01-31</v>
      </c>
      <c r="L550" s="20" t="s">
        <v>175</v>
      </c>
      <c r="M550" s="4"/>
      <c r="N550" s="2" t="s">
        <v>133</v>
      </c>
      <c r="O550" s="2"/>
      <c r="P550" s="4">
        <v>1</v>
      </c>
      <c r="Q550" s="2" t="s">
        <v>2109</v>
      </c>
      <c r="R550" s="11">
        <f>SUBTOTAL(3,_xlfn.SINGLE(tbl_file[RowId]))</f>
        <v>1</v>
      </c>
    </row>
    <row r="551" spans="10:18">
      <c r="J551" s="4">
        <v>1658</v>
      </c>
      <c r="K551" s="21" t="str">
        <f>HYPERLINK("obsidian://open?vault=o2&amp;file=2025-01-31.md","2025-01-31")</f>
        <v>2025-01-31</v>
      </c>
      <c r="L551" s="20" t="s">
        <v>175</v>
      </c>
      <c r="M551" s="4" t="s">
        <v>2626</v>
      </c>
      <c r="N551" s="2" t="s">
        <v>3028</v>
      </c>
      <c r="O551" s="2"/>
      <c r="P551" s="4">
        <v>1</v>
      </c>
      <c r="Q551" s="2" t="s">
        <v>2253</v>
      </c>
      <c r="R551" s="11">
        <f>SUBTOTAL(3,_xlfn.SINGLE(tbl_file[RowId]))</f>
        <v>1</v>
      </c>
    </row>
    <row r="552" spans="10:18">
      <c r="J552" s="4">
        <v>1659</v>
      </c>
      <c r="K552" s="21" t="str">
        <f>HYPERLINK("obsidian://open?vault=o2&amp;file=2025-02-04.md","2025-02-04")</f>
        <v>2025-02-04</v>
      </c>
      <c r="L552" s="20" t="s">
        <v>175</v>
      </c>
      <c r="M552" s="4"/>
      <c r="N552" s="2" t="s">
        <v>35</v>
      </c>
      <c r="O552" s="2"/>
      <c r="P552" s="4">
        <v>1</v>
      </c>
      <c r="Q552" s="2" t="s">
        <v>3029</v>
      </c>
      <c r="R552" s="11">
        <f>SUBTOTAL(3,_xlfn.SINGLE(tbl_file[RowId]))</f>
        <v>1</v>
      </c>
    </row>
    <row r="553" spans="10:18">
      <c r="J553" s="4">
        <v>1660</v>
      </c>
      <c r="K553" s="21" t="str">
        <f>HYPERLINK("obsidian://open?vault=o2&amp;file=2025-02-04.md","2025-02-04")</f>
        <v>2025-02-04</v>
      </c>
      <c r="L553" s="20" t="s">
        <v>175</v>
      </c>
      <c r="M553" s="4"/>
      <c r="N553" s="2" t="s">
        <v>2606</v>
      </c>
      <c r="O553" s="2"/>
      <c r="P553" s="4">
        <v>1</v>
      </c>
      <c r="Q553" s="2" t="s">
        <v>2317</v>
      </c>
      <c r="R553" s="11">
        <f>SUBTOTAL(3,_xlfn.SINGLE(tbl_file[RowId]))</f>
        <v>1</v>
      </c>
    </row>
    <row r="554" spans="10:18">
      <c r="J554" s="4">
        <v>1661</v>
      </c>
      <c r="K554" s="21" t="str">
        <f>HYPERLINK("obsidian://open?vault=o2&amp;file=2025-02-04.md","2025-02-04")</f>
        <v>2025-02-04</v>
      </c>
      <c r="L554" s="20" t="s">
        <v>175</v>
      </c>
      <c r="M554" s="4"/>
      <c r="N554" s="2" t="s">
        <v>133</v>
      </c>
      <c r="O554" s="2"/>
      <c r="P554" s="4">
        <v>1</v>
      </c>
      <c r="Q554" s="2" t="s">
        <v>2109</v>
      </c>
      <c r="R554" s="11">
        <f>SUBTOTAL(3,_xlfn.SINGLE(tbl_file[RowId]))</f>
        <v>1</v>
      </c>
    </row>
    <row r="555" spans="10:18">
      <c r="J555" s="4">
        <v>1662</v>
      </c>
      <c r="K555" s="21" t="str">
        <f>HYPERLINK("obsidian://open?vault=o2&amp;file=2025-02-04.md","2025-02-04")</f>
        <v>2025-02-04</v>
      </c>
      <c r="L555" s="20" t="s">
        <v>175</v>
      </c>
      <c r="M555" s="4" t="s">
        <v>2626</v>
      </c>
      <c r="N555" s="2" t="s">
        <v>3028</v>
      </c>
      <c r="O555" s="2"/>
      <c r="P555" s="4">
        <v>1</v>
      </c>
      <c r="Q555" s="2" t="s">
        <v>2253</v>
      </c>
      <c r="R555" s="11">
        <f>SUBTOTAL(3,_xlfn.SINGLE(tbl_file[RowId]))</f>
        <v>1</v>
      </c>
    </row>
    <row r="556" spans="10:18">
      <c r="J556" s="4">
        <v>1663</v>
      </c>
      <c r="K556" s="21" t="str">
        <f>HYPERLINK("obsidian://open?vault=o2&amp;file=2025-02-05.md","2025-02-05")</f>
        <v>2025-02-05</v>
      </c>
      <c r="L556" s="20" t="s">
        <v>175</v>
      </c>
      <c r="M556" s="4"/>
      <c r="N556" s="2" t="s">
        <v>35</v>
      </c>
      <c r="O556" s="2"/>
      <c r="P556" s="4">
        <v>1</v>
      </c>
      <c r="Q556" s="2" t="s">
        <v>3030</v>
      </c>
      <c r="R556" s="11">
        <f>SUBTOTAL(3,_xlfn.SINGLE(tbl_file[RowId]))</f>
        <v>1</v>
      </c>
    </row>
    <row r="557" spans="10:18">
      <c r="J557" s="4">
        <v>1664</v>
      </c>
      <c r="K557" s="21" t="str">
        <f>HYPERLINK("obsidian://open?vault=o2&amp;file=2025-02-05.md","2025-02-05")</f>
        <v>2025-02-05</v>
      </c>
      <c r="L557" s="20" t="s">
        <v>175</v>
      </c>
      <c r="M557" s="4"/>
      <c r="N557" s="2" t="s">
        <v>2606</v>
      </c>
      <c r="O557" s="2"/>
      <c r="P557" s="4">
        <v>1</v>
      </c>
      <c r="Q557" s="2" t="s">
        <v>2317</v>
      </c>
      <c r="R557" s="11">
        <f>SUBTOTAL(3,_xlfn.SINGLE(tbl_file[RowId]))</f>
        <v>1</v>
      </c>
    </row>
    <row r="558" spans="10:18">
      <c r="J558" s="4">
        <v>1665</v>
      </c>
      <c r="K558" s="21" t="str">
        <f>HYPERLINK("obsidian://open?vault=o2&amp;file=2025-02-05.md","2025-02-05")</f>
        <v>2025-02-05</v>
      </c>
      <c r="L558" s="20" t="s">
        <v>175</v>
      </c>
      <c r="M558" s="4"/>
      <c r="N558" s="2" t="s">
        <v>133</v>
      </c>
      <c r="O558" s="2"/>
      <c r="P558" s="4">
        <v>1</v>
      </c>
      <c r="Q558" s="2" t="s">
        <v>2109</v>
      </c>
      <c r="R558" s="11">
        <f>SUBTOTAL(3,_xlfn.SINGLE(tbl_file[RowId]))</f>
        <v>1</v>
      </c>
    </row>
    <row r="559" spans="10:18">
      <c r="J559" s="4">
        <v>1666</v>
      </c>
      <c r="K559" s="21" t="str">
        <f>HYPERLINK("obsidian://open?vault=o2&amp;file=2025-02-06.md","2025-02-06")</f>
        <v>2025-02-06</v>
      </c>
      <c r="L559" s="20" t="s">
        <v>175</v>
      </c>
      <c r="M559" s="4"/>
      <c r="N559" s="2" t="s">
        <v>35</v>
      </c>
      <c r="O559" s="2"/>
      <c r="P559" s="4">
        <v>1</v>
      </c>
      <c r="Q559" s="2" t="s">
        <v>2643</v>
      </c>
      <c r="R559" s="11">
        <f>SUBTOTAL(3,_xlfn.SINGLE(tbl_file[RowId]))</f>
        <v>1</v>
      </c>
    </row>
    <row r="560" spans="10:18">
      <c r="J560" s="4">
        <v>1667</v>
      </c>
      <c r="K560" s="21" t="str">
        <f>HYPERLINK("obsidian://open?vault=o2&amp;file=2025-02-06.md","2025-02-06")</f>
        <v>2025-02-06</v>
      </c>
      <c r="L560" s="20" t="s">
        <v>175</v>
      </c>
      <c r="M560" s="4"/>
      <c r="N560" s="2" t="s">
        <v>2606</v>
      </c>
      <c r="O560" s="2"/>
      <c r="P560" s="4">
        <v>1</v>
      </c>
      <c r="Q560" s="2" t="s">
        <v>2317</v>
      </c>
      <c r="R560" s="11">
        <f>SUBTOTAL(3,_xlfn.SINGLE(tbl_file[RowId]))</f>
        <v>1</v>
      </c>
    </row>
    <row r="561" spans="10:18">
      <c r="J561" s="4">
        <v>1668</v>
      </c>
      <c r="K561" s="21" t="str">
        <f>HYPERLINK("obsidian://open?vault=o2&amp;file=2025-02-06.md","2025-02-06")</f>
        <v>2025-02-06</v>
      </c>
      <c r="L561" s="20" t="s">
        <v>175</v>
      </c>
      <c r="M561" s="4"/>
      <c r="N561" s="2" t="s">
        <v>133</v>
      </c>
      <c r="O561" s="2"/>
      <c r="P561" s="4">
        <v>1</v>
      </c>
      <c r="Q561" s="2" t="s">
        <v>2102</v>
      </c>
      <c r="R561" s="11">
        <f>SUBTOTAL(3,_xlfn.SINGLE(tbl_file[RowId]))</f>
        <v>1</v>
      </c>
    </row>
    <row r="562" spans="10:18">
      <c r="J562" s="4">
        <v>1669</v>
      </c>
      <c r="K562" s="21" t="str">
        <f>HYPERLINK("obsidian://open?vault=o2&amp;file=2025-02-07.md","2025-02-07")</f>
        <v>2025-02-07</v>
      </c>
      <c r="L562" s="20" t="s">
        <v>175</v>
      </c>
      <c r="M562" s="4"/>
      <c r="N562" s="2" t="s">
        <v>35</v>
      </c>
      <c r="O562" s="2"/>
      <c r="P562" s="4">
        <v>1</v>
      </c>
      <c r="Q562" s="2" t="s">
        <v>3031</v>
      </c>
      <c r="R562" s="11">
        <f>SUBTOTAL(3,_xlfn.SINGLE(tbl_file[RowId]))</f>
        <v>1</v>
      </c>
    </row>
    <row r="563" spans="10:18">
      <c r="J563" s="4">
        <v>1670</v>
      </c>
      <c r="K563" s="21" t="str">
        <f>HYPERLINK("obsidian://open?vault=o2&amp;file=2025-02-07.md","2025-02-07")</f>
        <v>2025-02-07</v>
      </c>
      <c r="L563" s="20" t="s">
        <v>175</v>
      </c>
      <c r="M563" s="4"/>
      <c r="N563" s="2" t="s">
        <v>2606</v>
      </c>
      <c r="O563" s="2"/>
      <c r="P563" s="4">
        <v>1</v>
      </c>
      <c r="Q563" s="2" t="s">
        <v>2317</v>
      </c>
      <c r="R563" s="11">
        <f>SUBTOTAL(3,_xlfn.SINGLE(tbl_file[RowId]))</f>
        <v>1</v>
      </c>
    </row>
    <row r="564" spans="10:18">
      <c r="J564" s="4">
        <v>1671</v>
      </c>
      <c r="K564" s="21" t="str">
        <f>HYPERLINK("obsidian://open?vault=o2&amp;file=2025-02-07.md","2025-02-07")</f>
        <v>2025-02-07</v>
      </c>
      <c r="L564" s="20" t="s">
        <v>175</v>
      </c>
      <c r="M564" s="4"/>
      <c r="N564" s="2" t="s">
        <v>133</v>
      </c>
      <c r="O564" s="2"/>
      <c r="P564" s="4">
        <v>1</v>
      </c>
      <c r="Q564" s="2" t="s">
        <v>2102</v>
      </c>
      <c r="R564" s="11">
        <f>SUBTOTAL(3,_xlfn.SINGLE(tbl_file[RowId]))</f>
        <v>1</v>
      </c>
    </row>
    <row r="565" spans="10:18">
      <c r="J565" s="4">
        <v>1672</v>
      </c>
      <c r="K565" s="21" t="str">
        <f>HYPERLINK("obsidian://open?vault=o2&amp;file=2025-02-07.md","2025-02-07")</f>
        <v>2025-02-07</v>
      </c>
      <c r="L565" s="20" t="s">
        <v>175</v>
      </c>
      <c r="M565" s="4" t="s">
        <v>2626</v>
      </c>
      <c r="N565" s="2" t="s">
        <v>2606</v>
      </c>
      <c r="O565" s="2"/>
      <c r="P565" s="4">
        <v>1</v>
      </c>
      <c r="Q565" s="2" t="s">
        <v>2265</v>
      </c>
      <c r="R565" s="11">
        <f>SUBTOTAL(3,_xlfn.SINGLE(tbl_file[RowId]))</f>
        <v>1</v>
      </c>
    </row>
    <row r="566" spans="10:18">
      <c r="J566" s="4">
        <v>1673</v>
      </c>
      <c r="K566" s="21" t="str">
        <f>HYPERLINK("obsidian://open?vault=o2&amp;file=2025-02-08.md","2025-02-08")</f>
        <v>2025-02-08</v>
      </c>
      <c r="L566" s="20" t="s">
        <v>175</v>
      </c>
      <c r="M566" s="4"/>
      <c r="N566" s="2" t="s">
        <v>35</v>
      </c>
      <c r="O566" s="2"/>
      <c r="P566" s="4">
        <v>1</v>
      </c>
      <c r="Q566" s="2" t="s">
        <v>3032</v>
      </c>
      <c r="R566" s="11">
        <f>SUBTOTAL(3,_xlfn.SINGLE(tbl_file[RowId]))</f>
        <v>1</v>
      </c>
    </row>
    <row r="567" spans="10:18">
      <c r="J567" s="4">
        <v>1674</v>
      </c>
      <c r="K567" s="21" t="str">
        <f>HYPERLINK("obsidian://open?vault=o2&amp;file=2025-02-08.md","2025-02-08")</f>
        <v>2025-02-08</v>
      </c>
      <c r="L567" s="20" t="s">
        <v>175</v>
      </c>
      <c r="M567" s="4"/>
      <c r="N567" s="2" t="s">
        <v>2606</v>
      </c>
      <c r="O567" s="2"/>
      <c r="P567" s="4">
        <v>1</v>
      </c>
      <c r="Q567" s="2" t="s">
        <v>2317</v>
      </c>
      <c r="R567" s="11">
        <f>SUBTOTAL(3,_xlfn.SINGLE(tbl_file[RowId]))</f>
        <v>1</v>
      </c>
    </row>
    <row r="568" spans="10:18">
      <c r="J568" s="4">
        <v>1675</v>
      </c>
      <c r="K568" s="21" t="str">
        <f>HYPERLINK("obsidian://open?vault=o2&amp;file=2025-02-08.md","2025-02-08")</f>
        <v>2025-02-08</v>
      </c>
      <c r="L568" s="20" t="s">
        <v>175</v>
      </c>
      <c r="M568" s="4"/>
      <c r="N568" s="2" t="s">
        <v>133</v>
      </c>
      <c r="O568" s="2"/>
      <c r="P568" s="4">
        <v>1</v>
      </c>
      <c r="Q568" s="2" t="s">
        <v>2102</v>
      </c>
      <c r="R568" s="11">
        <f>SUBTOTAL(3,_xlfn.SINGLE(tbl_file[RowId]))</f>
        <v>1</v>
      </c>
    </row>
    <row r="569" spans="10:18">
      <c r="J569" s="4">
        <v>1676</v>
      </c>
      <c r="K569" s="21" t="str">
        <f>HYPERLINK("obsidian://open?vault=o2&amp;file=2025-02-09.md","2025-02-09")</f>
        <v>2025-02-09</v>
      </c>
      <c r="L569" s="20" t="s">
        <v>175</v>
      </c>
      <c r="M569" s="4"/>
      <c r="N569" s="2" t="s">
        <v>35</v>
      </c>
      <c r="O569" s="2"/>
      <c r="P569" s="4">
        <v>1</v>
      </c>
      <c r="Q569" s="2" t="s">
        <v>3033</v>
      </c>
      <c r="R569" s="11">
        <f>SUBTOTAL(3,_xlfn.SINGLE(tbl_file[RowId]))</f>
        <v>1</v>
      </c>
    </row>
    <row r="570" spans="10:18">
      <c r="J570" s="4">
        <v>1677</v>
      </c>
      <c r="K570" s="21" t="str">
        <f>HYPERLINK("obsidian://open?vault=o2&amp;file=2025-02-09.md","2025-02-09")</f>
        <v>2025-02-09</v>
      </c>
      <c r="L570" s="20" t="s">
        <v>175</v>
      </c>
      <c r="M570" s="4"/>
      <c r="N570" s="2" t="s">
        <v>2606</v>
      </c>
      <c r="O570" s="2"/>
      <c r="P570" s="4">
        <v>1</v>
      </c>
      <c r="Q570" s="2" t="s">
        <v>2317</v>
      </c>
      <c r="R570" s="11">
        <f>SUBTOTAL(3,_xlfn.SINGLE(tbl_file[RowId]))</f>
        <v>1</v>
      </c>
    </row>
    <row r="571" spans="10:18">
      <c r="J571" s="4">
        <v>1678</v>
      </c>
      <c r="K571" s="21" t="str">
        <f>HYPERLINK("obsidian://open?vault=o2&amp;file=2025-02-09.md","2025-02-09")</f>
        <v>2025-02-09</v>
      </c>
      <c r="L571" s="20" t="s">
        <v>175</v>
      </c>
      <c r="M571" s="4"/>
      <c r="N571" s="2" t="s">
        <v>133</v>
      </c>
      <c r="O571" s="2"/>
      <c r="P571" s="4">
        <v>1</v>
      </c>
      <c r="Q571" s="2" t="s">
        <v>2102</v>
      </c>
      <c r="R571" s="11">
        <f>SUBTOTAL(3,_xlfn.SINGLE(tbl_file[RowId]))</f>
        <v>1</v>
      </c>
    </row>
    <row r="572" spans="10:18">
      <c r="J572" s="4">
        <v>1679</v>
      </c>
      <c r="K572" s="21" t="str">
        <f>HYPERLINK("obsidian://open?vault=o2&amp;file=2025-02-11.md","2025-02-11")</f>
        <v>2025-02-11</v>
      </c>
      <c r="L572" s="20" t="s">
        <v>175</v>
      </c>
      <c r="M572" s="4"/>
      <c r="N572" s="2" t="s">
        <v>14</v>
      </c>
      <c r="O572" s="2"/>
      <c r="P572" s="4">
        <v>1</v>
      </c>
      <c r="Q572" s="2" t="s">
        <v>350</v>
      </c>
      <c r="R572" s="11">
        <f>SUBTOTAL(3,_xlfn.SINGLE(tbl_file[RowId]))</f>
        <v>1</v>
      </c>
    </row>
    <row r="573" spans="10:18">
      <c r="J573" s="4">
        <v>1680</v>
      </c>
      <c r="K573" s="21" t="str">
        <f>HYPERLINK("obsidian://open?vault=o2&amp;file=2025-02-11.md","2025-02-11")</f>
        <v>2025-02-11</v>
      </c>
      <c r="L573" s="20" t="s">
        <v>175</v>
      </c>
      <c r="M573" s="4"/>
      <c r="N573" s="2" t="s">
        <v>21</v>
      </c>
      <c r="O573" s="2"/>
      <c r="P573" s="4">
        <v>1</v>
      </c>
      <c r="Q573" s="2" t="s">
        <v>424</v>
      </c>
      <c r="R573" s="11">
        <f>SUBTOTAL(3,_xlfn.SINGLE(tbl_file[RowId]))</f>
        <v>1</v>
      </c>
    </row>
    <row r="574" spans="10:18">
      <c r="J574" s="4">
        <v>1681</v>
      </c>
      <c r="K574" s="21" t="str">
        <f>HYPERLINK("obsidian://open?vault=o2&amp;file=2025-02-11.md","2025-02-11")</f>
        <v>2025-02-11</v>
      </c>
      <c r="L574" s="20" t="s">
        <v>175</v>
      </c>
      <c r="M574" s="4"/>
      <c r="N574" s="2" t="s">
        <v>35</v>
      </c>
      <c r="O574" s="2"/>
      <c r="P574" s="4">
        <v>1</v>
      </c>
      <c r="Q574" s="2" t="s">
        <v>3034</v>
      </c>
      <c r="R574" s="11">
        <f>SUBTOTAL(3,_xlfn.SINGLE(tbl_file[RowId]))</f>
        <v>1</v>
      </c>
    </row>
    <row r="575" spans="10:18">
      <c r="J575" s="4">
        <v>1682</v>
      </c>
      <c r="K575" s="21" t="str">
        <f>HYPERLINK("obsidian://open?vault=o2&amp;file=2025-02-11.md","2025-02-11")</f>
        <v>2025-02-11</v>
      </c>
      <c r="L575" s="20" t="s">
        <v>175</v>
      </c>
      <c r="M575" s="4"/>
      <c r="N575" s="2" t="s">
        <v>2606</v>
      </c>
      <c r="O575" s="2"/>
      <c r="P575" s="4">
        <v>2</v>
      </c>
      <c r="Q575" s="2" t="s">
        <v>2705</v>
      </c>
      <c r="R575" s="11">
        <f>SUBTOTAL(3,_xlfn.SINGLE(tbl_file[RowId]))</f>
        <v>1</v>
      </c>
    </row>
    <row r="576" spans="10:18">
      <c r="J576" s="4">
        <v>1683</v>
      </c>
      <c r="K576" s="21" t="str">
        <f>HYPERLINK("obsidian://open?vault=o2&amp;file=2025-02-11.md","2025-02-11")</f>
        <v>2025-02-11</v>
      </c>
      <c r="L576" s="20" t="s">
        <v>175</v>
      </c>
      <c r="M576" s="4"/>
      <c r="N576" s="14" t="s">
        <v>134</v>
      </c>
      <c r="O576" s="2"/>
      <c r="P576" s="4">
        <v>1</v>
      </c>
      <c r="Q576" s="2" t="s">
        <v>2102</v>
      </c>
      <c r="R576" s="11">
        <f>SUBTOTAL(3,_xlfn.SINGLE(tbl_file[RowId]))</f>
        <v>1</v>
      </c>
    </row>
    <row r="577" spans="10:18">
      <c r="J577" s="4">
        <v>1684</v>
      </c>
      <c r="K577" s="21" t="str">
        <f>HYPERLINK("obsidian://open?vault=o2&amp;file=2025-02-13.md","2025-02-13")</f>
        <v>2025-02-13</v>
      </c>
      <c r="L577" s="20" t="s">
        <v>175</v>
      </c>
      <c r="M577" s="4"/>
      <c r="N577" s="2" t="s">
        <v>14</v>
      </c>
      <c r="O577" s="2"/>
      <c r="P577" s="4">
        <v>1</v>
      </c>
      <c r="Q577" s="2" t="s">
        <v>350</v>
      </c>
      <c r="R577" s="11">
        <f>SUBTOTAL(3,_xlfn.SINGLE(tbl_file[RowId]))</f>
        <v>1</v>
      </c>
    </row>
    <row r="578" spans="10:18">
      <c r="J578" s="4">
        <v>1685</v>
      </c>
      <c r="K578" s="21" t="str">
        <f>HYPERLINK("obsidian://open?vault=o2&amp;file=2025-02-13.md","2025-02-13")</f>
        <v>2025-02-13</v>
      </c>
      <c r="L578" s="20" t="s">
        <v>175</v>
      </c>
      <c r="M578" s="4"/>
      <c r="N578" s="2" t="s">
        <v>35</v>
      </c>
      <c r="O578" s="2"/>
      <c r="P578" s="4">
        <v>1</v>
      </c>
      <c r="Q578" s="2" t="s">
        <v>3035</v>
      </c>
      <c r="R578" s="11">
        <f>SUBTOTAL(3,_xlfn.SINGLE(tbl_file[RowId]))</f>
        <v>1</v>
      </c>
    </row>
    <row r="579" spans="10:18">
      <c r="J579" s="4">
        <v>1686</v>
      </c>
      <c r="K579" s="21" t="str">
        <f>HYPERLINK("obsidian://open?vault=o2&amp;file=2025-02-13.md","2025-02-13")</f>
        <v>2025-02-13</v>
      </c>
      <c r="L579" s="20" t="s">
        <v>175</v>
      </c>
      <c r="M579" s="4"/>
      <c r="N579" s="2" t="s">
        <v>2606</v>
      </c>
      <c r="O579" s="2"/>
      <c r="P579" s="4">
        <v>2</v>
      </c>
      <c r="Q579" s="2" t="s">
        <v>2705</v>
      </c>
      <c r="R579" s="11">
        <f>SUBTOTAL(3,_xlfn.SINGLE(tbl_file[RowId]))</f>
        <v>1</v>
      </c>
    </row>
    <row r="580" spans="10:18">
      <c r="J580" s="4">
        <v>1687</v>
      </c>
      <c r="K580" s="21" t="str">
        <f>HYPERLINK("obsidian://open?vault=o2&amp;file=2025-02-13.md","2025-02-13")</f>
        <v>2025-02-13</v>
      </c>
      <c r="L580" s="20" t="s">
        <v>175</v>
      </c>
      <c r="M580" s="4"/>
      <c r="N580" s="14" t="s">
        <v>134</v>
      </c>
      <c r="O580" s="2"/>
      <c r="P580" s="4">
        <v>1</v>
      </c>
      <c r="Q580" s="2" t="s">
        <v>2102</v>
      </c>
      <c r="R580" s="11">
        <f>SUBTOTAL(3,_xlfn.SINGLE(tbl_file[RowId]))</f>
        <v>1</v>
      </c>
    </row>
    <row r="581" spans="10:18">
      <c r="J581" s="4">
        <v>1688</v>
      </c>
      <c r="K581" s="21" t="str">
        <f>HYPERLINK("obsidian://open?vault=o2&amp;file=2025-02-14.md","2025-02-14")</f>
        <v>2025-02-14</v>
      </c>
      <c r="L581" s="20" t="s">
        <v>175</v>
      </c>
      <c r="M581" s="4"/>
      <c r="N581" s="2" t="s">
        <v>14</v>
      </c>
      <c r="O581" s="2"/>
      <c r="P581" s="4">
        <v>1</v>
      </c>
      <c r="Q581" s="2" t="s">
        <v>350</v>
      </c>
      <c r="R581" s="11">
        <f>SUBTOTAL(3,_xlfn.SINGLE(tbl_file[RowId]))</f>
        <v>1</v>
      </c>
    </row>
    <row r="582" spans="10:18">
      <c r="J582" s="4">
        <v>1689</v>
      </c>
      <c r="K582" s="21" t="str">
        <f>HYPERLINK("obsidian://open?vault=o2&amp;file=2025-02-14.md","2025-02-14")</f>
        <v>2025-02-14</v>
      </c>
      <c r="L582" s="20" t="s">
        <v>175</v>
      </c>
      <c r="M582" s="4"/>
      <c r="N582" s="2" t="s">
        <v>23</v>
      </c>
      <c r="O582" s="2"/>
      <c r="P582" s="4">
        <v>1</v>
      </c>
      <c r="Q582" s="2" t="s">
        <v>420</v>
      </c>
      <c r="R582" s="11">
        <f>SUBTOTAL(3,_xlfn.SINGLE(tbl_file[RowId]))</f>
        <v>1</v>
      </c>
    </row>
    <row r="583" spans="10:18">
      <c r="J583" s="4">
        <v>1690</v>
      </c>
      <c r="K583" s="21" t="str">
        <f>HYPERLINK("obsidian://open?vault=o2&amp;file=2025-02-14.md","2025-02-14")</f>
        <v>2025-02-14</v>
      </c>
      <c r="L583" s="20" t="s">
        <v>175</v>
      </c>
      <c r="M583" s="4"/>
      <c r="N583" s="2" t="s">
        <v>35</v>
      </c>
      <c r="O583" s="2"/>
      <c r="P583" s="4">
        <v>1</v>
      </c>
      <c r="Q583" s="2" t="s">
        <v>3036</v>
      </c>
      <c r="R583" s="11">
        <f>SUBTOTAL(3,_xlfn.SINGLE(tbl_file[RowId]))</f>
        <v>1</v>
      </c>
    </row>
    <row r="584" spans="10:18">
      <c r="J584" s="4">
        <v>1691</v>
      </c>
      <c r="K584" s="21" t="str">
        <f>HYPERLINK("obsidian://open?vault=o2&amp;file=2025-02-14.md","2025-02-14")</f>
        <v>2025-02-14</v>
      </c>
      <c r="L584" s="20" t="s">
        <v>175</v>
      </c>
      <c r="M584" s="4"/>
      <c r="N584" s="2" t="s">
        <v>2606</v>
      </c>
      <c r="O584" s="2"/>
      <c r="P584" s="4">
        <v>2</v>
      </c>
      <c r="Q584" s="2" t="s">
        <v>2705</v>
      </c>
      <c r="R584" s="11">
        <f>SUBTOTAL(3,_xlfn.SINGLE(tbl_file[RowId]))</f>
        <v>1</v>
      </c>
    </row>
    <row r="585" spans="10:18">
      <c r="J585" s="4">
        <v>1692</v>
      </c>
      <c r="K585" s="21" t="str">
        <f>HYPERLINK("obsidian://open?vault=o2&amp;file=2025-02-14.md","2025-02-14")</f>
        <v>2025-02-14</v>
      </c>
      <c r="L585" s="20" t="s">
        <v>175</v>
      </c>
      <c r="M585" s="4"/>
      <c r="N585" s="14" t="s">
        <v>134</v>
      </c>
      <c r="O585" s="2"/>
      <c r="P585" s="4">
        <v>1</v>
      </c>
      <c r="Q585" s="2" t="s">
        <v>2102</v>
      </c>
      <c r="R585" s="11">
        <f>SUBTOTAL(3,_xlfn.SINGLE(tbl_file[RowId]))</f>
        <v>1</v>
      </c>
    </row>
    <row r="586" spans="10:18">
      <c r="J586" s="4">
        <v>1693</v>
      </c>
      <c r="K586" s="21" t="str">
        <f>HYPERLINK("obsidian://open?vault=o2&amp;file=2025-02-15.md","2025-02-15")</f>
        <v>2025-02-15</v>
      </c>
      <c r="L586" s="20" t="s">
        <v>175</v>
      </c>
      <c r="M586" s="4"/>
      <c r="N586" s="2" t="s">
        <v>23</v>
      </c>
      <c r="O586" s="2"/>
      <c r="P586" s="4">
        <v>1</v>
      </c>
      <c r="Q586" s="2" t="s">
        <v>420</v>
      </c>
      <c r="R586" s="11">
        <f>SUBTOTAL(3,_xlfn.SINGLE(tbl_file[RowId]))</f>
        <v>1</v>
      </c>
    </row>
    <row r="587" spans="10:18">
      <c r="J587" s="4">
        <v>1694</v>
      </c>
      <c r="K587" s="21" t="str">
        <f>HYPERLINK("obsidian://open?vault=o2&amp;file=2025-02-15.md","2025-02-15")</f>
        <v>2025-02-15</v>
      </c>
      <c r="L587" s="20" t="s">
        <v>175</v>
      </c>
      <c r="M587" s="4"/>
      <c r="N587" s="2" t="s">
        <v>35</v>
      </c>
      <c r="O587" s="2"/>
      <c r="P587" s="4">
        <v>1</v>
      </c>
      <c r="Q587" s="2" t="s">
        <v>2605</v>
      </c>
      <c r="R587" s="11">
        <f>SUBTOTAL(3,_xlfn.SINGLE(tbl_file[RowId]))</f>
        <v>1</v>
      </c>
    </row>
    <row r="588" spans="10:18">
      <c r="J588" s="4">
        <v>1695</v>
      </c>
      <c r="K588" s="21" t="str">
        <f>HYPERLINK("obsidian://open?vault=o2&amp;file=2025-02-15.md","2025-02-15")</f>
        <v>2025-02-15</v>
      </c>
      <c r="L588" s="20" t="s">
        <v>175</v>
      </c>
      <c r="M588" s="4"/>
      <c r="N588" s="2" t="s">
        <v>2606</v>
      </c>
      <c r="O588" s="2"/>
      <c r="P588" s="4">
        <v>2</v>
      </c>
      <c r="Q588" s="2" t="s">
        <v>2705</v>
      </c>
      <c r="R588" s="11">
        <f>SUBTOTAL(3,_xlfn.SINGLE(tbl_file[RowId]))</f>
        <v>1</v>
      </c>
    </row>
    <row r="589" spans="10:18">
      <c r="J589" s="4">
        <v>1696</v>
      </c>
      <c r="K589" s="21" t="str">
        <f>HYPERLINK("obsidian://open?vault=o2&amp;file=2025-02-15.md","2025-02-15")</f>
        <v>2025-02-15</v>
      </c>
      <c r="L589" s="20" t="s">
        <v>175</v>
      </c>
      <c r="M589" s="4"/>
      <c r="N589" s="2" t="s">
        <v>133</v>
      </c>
      <c r="O589" s="2"/>
      <c r="P589" s="4">
        <v>1</v>
      </c>
      <c r="Q589" s="2" t="s">
        <v>2102</v>
      </c>
      <c r="R589" s="11">
        <f>SUBTOTAL(3,_xlfn.SINGLE(tbl_file[RowId]))</f>
        <v>1</v>
      </c>
    </row>
    <row r="590" spans="10:18">
      <c r="J590" s="4">
        <v>1697</v>
      </c>
      <c r="K590" s="21" t="str">
        <f>HYPERLINK("obsidian://open?vault=o2&amp;file=2025-02-16.md","2025-02-16")</f>
        <v>2025-02-16</v>
      </c>
      <c r="L590" s="20" t="s">
        <v>175</v>
      </c>
      <c r="M590" s="4"/>
      <c r="N590" s="2" t="s">
        <v>23</v>
      </c>
      <c r="O590" s="2"/>
      <c r="P590" s="4">
        <v>1</v>
      </c>
      <c r="Q590" s="2" t="s">
        <v>420</v>
      </c>
      <c r="R590" s="11">
        <f>SUBTOTAL(3,_xlfn.SINGLE(tbl_file[RowId]))</f>
        <v>1</v>
      </c>
    </row>
    <row r="591" spans="10:18">
      <c r="J591" s="4">
        <v>1698</v>
      </c>
      <c r="K591" s="21" t="str">
        <f>HYPERLINK("obsidian://open?vault=o2&amp;file=2025-02-16.md","2025-02-16")</f>
        <v>2025-02-16</v>
      </c>
      <c r="L591" s="20" t="s">
        <v>175</v>
      </c>
      <c r="M591" s="4"/>
      <c r="N591" s="2" t="s">
        <v>35</v>
      </c>
      <c r="O591" s="2"/>
      <c r="P591" s="4">
        <v>1</v>
      </c>
      <c r="Q591" s="2" t="s">
        <v>3037</v>
      </c>
      <c r="R591" s="11">
        <f>SUBTOTAL(3,_xlfn.SINGLE(tbl_file[RowId]))</f>
        <v>1</v>
      </c>
    </row>
    <row r="592" spans="10:18">
      <c r="J592" s="4">
        <v>1699</v>
      </c>
      <c r="K592" s="21" t="str">
        <f>HYPERLINK("obsidian://open?vault=o2&amp;file=2025-02-16.md","2025-02-16")</f>
        <v>2025-02-16</v>
      </c>
      <c r="L592" s="20" t="s">
        <v>175</v>
      </c>
      <c r="M592" s="4"/>
      <c r="N592" s="2" t="s">
        <v>2606</v>
      </c>
      <c r="O592" s="2"/>
      <c r="P592" s="4">
        <v>2</v>
      </c>
      <c r="Q592" s="2" t="s">
        <v>2705</v>
      </c>
      <c r="R592" s="11">
        <f>SUBTOTAL(3,_xlfn.SINGLE(tbl_file[RowId]))</f>
        <v>1</v>
      </c>
    </row>
    <row r="593" spans="10:18">
      <c r="J593" s="4">
        <v>1700</v>
      </c>
      <c r="K593" s="21" t="str">
        <f>HYPERLINK("obsidian://open?vault=o2&amp;file=2025-02-16.md","2025-02-16")</f>
        <v>2025-02-16</v>
      </c>
      <c r="L593" s="20" t="s">
        <v>175</v>
      </c>
      <c r="M593" s="4"/>
      <c r="N593" s="2" t="s">
        <v>133</v>
      </c>
      <c r="O593" s="2"/>
      <c r="P593" s="4">
        <v>1</v>
      </c>
      <c r="Q593" s="2" t="s">
        <v>2102</v>
      </c>
      <c r="R593" s="11">
        <f>SUBTOTAL(3,_xlfn.SINGLE(tbl_file[RowId]))</f>
        <v>1</v>
      </c>
    </row>
    <row r="594" spans="10:18">
      <c r="J594" s="4">
        <v>1701</v>
      </c>
      <c r="K594" s="21" t="str">
        <f>HYPERLINK("obsidian://open?vault=o2&amp;file=2025-02-17.md","2025-02-17")</f>
        <v>2025-02-17</v>
      </c>
      <c r="L594" s="20" t="s">
        <v>175</v>
      </c>
      <c r="M594" s="4"/>
      <c r="N594" s="2" t="s">
        <v>21</v>
      </c>
      <c r="O594" s="2"/>
      <c r="P594" s="4">
        <v>1</v>
      </c>
      <c r="Q594" s="2" t="s">
        <v>420</v>
      </c>
      <c r="R594" s="11">
        <f>SUBTOTAL(3,_xlfn.SINGLE(tbl_file[RowId]))</f>
        <v>1</v>
      </c>
    </row>
    <row r="595" spans="10:18">
      <c r="J595" s="4">
        <v>1702</v>
      </c>
      <c r="K595" s="21" t="str">
        <f>HYPERLINK("obsidian://open?vault=o2&amp;file=2025-02-17.md","2025-02-17")</f>
        <v>2025-02-17</v>
      </c>
      <c r="L595" s="20" t="s">
        <v>175</v>
      </c>
      <c r="M595" s="4"/>
      <c r="N595" s="2" t="s">
        <v>35</v>
      </c>
      <c r="O595" s="2"/>
      <c r="P595" s="4">
        <v>1</v>
      </c>
      <c r="Q595" s="2" t="s">
        <v>3038</v>
      </c>
      <c r="R595" s="11">
        <f>SUBTOTAL(3,_xlfn.SINGLE(tbl_file[RowId]))</f>
        <v>1</v>
      </c>
    </row>
    <row r="596" spans="10:18">
      <c r="J596" s="4">
        <v>1703</v>
      </c>
      <c r="K596" s="21" t="str">
        <f>HYPERLINK("obsidian://open?vault=o2&amp;file=2025-02-17.md","2025-02-17")</f>
        <v>2025-02-17</v>
      </c>
      <c r="L596" s="20" t="s">
        <v>175</v>
      </c>
      <c r="M596" s="4"/>
      <c r="N596" s="2" t="s">
        <v>2606</v>
      </c>
      <c r="O596" s="2"/>
      <c r="P596" s="4">
        <v>2</v>
      </c>
      <c r="Q596" s="2" t="s">
        <v>2705</v>
      </c>
      <c r="R596" s="11">
        <f>SUBTOTAL(3,_xlfn.SINGLE(tbl_file[RowId]))</f>
        <v>1</v>
      </c>
    </row>
    <row r="597" spans="10:18">
      <c r="J597" s="4">
        <v>1704</v>
      </c>
      <c r="K597" s="21" t="str">
        <f>HYPERLINK("obsidian://open?vault=o2&amp;file=2025-02-17.md","2025-02-17")</f>
        <v>2025-02-17</v>
      </c>
      <c r="L597" s="20" t="s">
        <v>175</v>
      </c>
      <c r="M597" s="4"/>
      <c r="N597" s="2" t="s">
        <v>133</v>
      </c>
      <c r="O597" s="2"/>
      <c r="P597" s="4">
        <v>1</v>
      </c>
      <c r="Q597" s="2" t="s">
        <v>2102</v>
      </c>
      <c r="R597" s="11">
        <f>SUBTOTAL(3,_xlfn.SINGLE(tbl_file[RowId]))</f>
        <v>1</v>
      </c>
    </row>
    <row r="598" spans="10:18">
      <c r="J598" s="4">
        <v>1705</v>
      </c>
      <c r="K598" s="21" t="str">
        <f>HYPERLINK("obsidian://open?vault=o2&amp;file=2025-02-18.md","2025-02-18")</f>
        <v>2025-02-18</v>
      </c>
      <c r="L598" s="20" t="s">
        <v>175</v>
      </c>
      <c r="M598" s="4"/>
      <c r="N598" s="2" t="s">
        <v>23</v>
      </c>
      <c r="O598" s="2"/>
      <c r="P598" s="4">
        <v>2</v>
      </c>
      <c r="Q598" s="2" t="s">
        <v>2644</v>
      </c>
      <c r="R598" s="11">
        <f>SUBTOTAL(3,_xlfn.SINGLE(tbl_file[RowId]))</f>
        <v>1</v>
      </c>
    </row>
    <row r="599" spans="10:18">
      <c r="J599" s="4">
        <v>1706</v>
      </c>
      <c r="K599" s="21" t="str">
        <f>HYPERLINK("obsidian://open?vault=o2&amp;file=2025-02-18.md","2025-02-18")</f>
        <v>2025-02-18</v>
      </c>
      <c r="L599" s="20" t="s">
        <v>175</v>
      </c>
      <c r="M599" s="4"/>
      <c r="N599" s="2" t="s">
        <v>35</v>
      </c>
      <c r="O599" s="2"/>
      <c r="P599" s="4">
        <v>1</v>
      </c>
      <c r="Q599" s="2" t="s">
        <v>3039</v>
      </c>
      <c r="R599" s="11">
        <f>SUBTOTAL(3,_xlfn.SINGLE(tbl_file[RowId]))</f>
        <v>1</v>
      </c>
    </row>
    <row r="600" spans="10:18">
      <c r="J600" s="4">
        <v>1707</v>
      </c>
      <c r="K600" s="21" t="str">
        <f>HYPERLINK("obsidian://open?vault=o2&amp;file=2025-02-18.md","2025-02-18")</f>
        <v>2025-02-18</v>
      </c>
      <c r="L600" s="20" t="s">
        <v>175</v>
      </c>
      <c r="M600" s="4"/>
      <c r="N600" s="2" t="s">
        <v>2606</v>
      </c>
      <c r="O600" s="2"/>
      <c r="P600" s="4">
        <v>2</v>
      </c>
      <c r="Q600" s="2" t="s">
        <v>2705</v>
      </c>
      <c r="R600" s="11">
        <f>SUBTOTAL(3,_xlfn.SINGLE(tbl_file[RowId]))</f>
        <v>1</v>
      </c>
    </row>
    <row r="601" spans="10:18">
      <c r="J601" s="4">
        <v>1708</v>
      </c>
      <c r="K601" s="21" t="str">
        <f>HYPERLINK("obsidian://open?vault=o2&amp;file=2025-02-18.md","2025-02-18")</f>
        <v>2025-02-18</v>
      </c>
      <c r="L601" s="20" t="s">
        <v>175</v>
      </c>
      <c r="M601" s="4"/>
      <c r="N601" s="2" t="s">
        <v>133</v>
      </c>
      <c r="O601" s="2"/>
      <c r="P601" s="4">
        <v>1</v>
      </c>
      <c r="Q601" s="2" t="s">
        <v>2102</v>
      </c>
      <c r="R601" s="11">
        <f>SUBTOTAL(3,_xlfn.SINGLE(tbl_file[RowId]))</f>
        <v>1</v>
      </c>
    </row>
    <row r="602" spans="10:18">
      <c r="J602" s="4">
        <v>1709</v>
      </c>
      <c r="K602" s="21" t="str">
        <f>HYPERLINK("obsidian://open?vault=o2&amp;file=2025-02-19.md","2025-02-19")</f>
        <v>2025-02-19</v>
      </c>
      <c r="L602" s="20" t="s">
        <v>175</v>
      </c>
      <c r="M602" s="4"/>
      <c r="N602" s="2" t="s">
        <v>21</v>
      </c>
      <c r="O602" s="2"/>
      <c r="P602" s="4">
        <v>1</v>
      </c>
      <c r="Q602" s="2" t="s">
        <v>420</v>
      </c>
      <c r="R602" s="11">
        <f>SUBTOTAL(3,_xlfn.SINGLE(tbl_file[RowId]))</f>
        <v>1</v>
      </c>
    </row>
    <row r="603" spans="10:18">
      <c r="J603" s="4">
        <v>1710</v>
      </c>
      <c r="K603" s="21" t="str">
        <f>HYPERLINK("obsidian://open?vault=o2&amp;file=2025-02-19.md","2025-02-19")</f>
        <v>2025-02-19</v>
      </c>
      <c r="L603" s="20" t="s">
        <v>175</v>
      </c>
      <c r="M603" s="4"/>
      <c r="N603" s="2" t="s">
        <v>35</v>
      </c>
      <c r="O603" s="2"/>
      <c r="P603" s="4">
        <v>1</v>
      </c>
      <c r="Q603" s="2" t="s">
        <v>3040</v>
      </c>
      <c r="R603" s="11">
        <f>SUBTOTAL(3,_xlfn.SINGLE(tbl_file[RowId]))</f>
        <v>1</v>
      </c>
    </row>
    <row r="604" spans="10:18">
      <c r="J604" s="4">
        <v>1711</v>
      </c>
      <c r="K604" s="21" t="str">
        <f>HYPERLINK("obsidian://open?vault=o2&amp;file=2025-02-19.md","2025-02-19")</f>
        <v>2025-02-19</v>
      </c>
      <c r="L604" s="20" t="s">
        <v>175</v>
      </c>
      <c r="M604" s="4"/>
      <c r="N604" s="2" t="s">
        <v>2606</v>
      </c>
      <c r="O604" s="2"/>
      <c r="P604" s="4">
        <v>2</v>
      </c>
      <c r="Q604" s="2" t="s">
        <v>2705</v>
      </c>
      <c r="R604" s="11">
        <f>SUBTOTAL(3,_xlfn.SINGLE(tbl_file[RowId]))</f>
        <v>1</v>
      </c>
    </row>
    <row r="605" spans="10:18">
      <c r="J605" s="4">
        <v>1712</v>
      </c>
      <c r="K605" s="21" t="str">
        <f>HYPERLINK("obsidian://open?vault=o2&amp;file=2025-02-19.md","2025-02-19")</f>
        <v>2025-02-19</v>
      </c>
      <c r="L605" s="20" t="s">
        <v>175</v>
      </c>
      <c r="M605" s="4"/>
      <c r="N605" s="2" t="s">
        <v>133</v>
      </c>
      <c r="O605" s="2"/>
      <c r="P605" s="4">
        <v>1</v>
      </c>
      <c r="Q605" s="2" t="s">
        <v>2102</v>
      </c>
      <c r="R605" s="11">
        <f>SUBTOTAL(3,_xlfn.SINGLE(tbl_file[RowId]))</f>
        <v>1</v>
      </c>
    </row>
    <row r="606" spans="10:18">
      <c r="J606" s="4">
        <v>1713</v>
      </c>
      <c r="K606" s="21" t="str">
        <f>HYPERLINK("obsidian://open?vault=o2&amp;file=2025-02-20.md","2025-02-20")</f>
        <v>2025-02-20</v>
      </c>
      <c r="L606" s="20" t="s">
        <v>175</v>
      </c>
      <c r="M606" s="4"/>
      <c r="N606" s="2" t="s">
        <v>21</v>
      </c>
      <c r="O606" s="2"/>
      <c r="P606" s="4">
        <v>1</v>
      </c>
      <c r="Q606" s="2" t="s">
        <v>420</v>
      </c>
      <c r="R606" s="11">
        <f>SUBTOTAL(3,_xlfn.SINGLE(tbl_file[RowId]))</f>
        <v>1</v>
      </c>
    </row>
    <row r="607" spans="10:18">
      <c r="J607" s="4">
        <v>1714</v>
      </c>
      <c r="K607" s="21" t="str">
        <f>HYPERLINK("obsidian://open?vault=o2&amp;file=2025-02-20.md","2025-02-20")</f>
        <v>2025-02-20</v>
      </c>
      <c r="L607" s="20" t="s">
        <v>175</v>
      </c>
      <c r="M607" s="4"/>
      <c r="N607" s="2" t="s">
        <v>35</v>
      </c>
      <c r="O607" s="2"/>
      <c r="P607" s="4">
        <v>1</v>
      </c>
      <c r="Q607" s="2" t="s">
        <v>3041</v>
      </c>
      <c r="R607" s="11">
        <f>SUBTOTAL(3,_xlfn.SINGLE(tbl_file[RowId]))</f>
        <v>1</v>
      </c>
    </row>
    <row r="608" spans="10:18">
      <c r="J608" s="4">
        <v>1715</v>
      </c>
      <c r="K608" s="21" t="str">
        <f>HYPERLINK("obsidian://open?vault=o2&amp;file=2025-02-20.md","2025-02-20")</f>
        <v>2025-02-20</v>
      </c>
      <c r="L608" s="20" t="s">
        <v>175</v>
      </c>
      <c r="M608" s="4"/>
      <c r="N608" s="2" t="s">
        <v>2606</v>
      </c>
      <c r="O608" s="2"/>
      <c r="P608" s="4">
        <v>2</v>
      </c>
      <c r="Q608" s="2" t="s">
        <v>2705</v>
      </c>
      <c r="R608" s="11">
        <f>SUBTOTAL(3,_xlfn.SINGLE(tbl_file[RowId]))</f>
        <v>1</v>
      </c>
    </row>
    <row r="609" spans="10:18">
      <c r="J609" s="4">
        <v>1716</v>
      </c>
      <c r="K609" s="21" t="str">
        <f>HYPERLINK("obsidian://open?vault=o2&amp;file=2025-02-20.md","2025-02-20")</f>
        <v>2025-02-20</v>
      </c>
      <c r="L609" s="20" t="s">
        <v>175</v>
      </c>
      <c r="M609" s="4"/>
      <c r="N609" s="2" t="s">
        <v>133</v>
      </c>
      <c r="O609" s="2"/>
      <c r="P609" s="4">
        <v>1</v>
      </c>
      <c r="Q609" s="2" t="s">
        <v>2102</v>
      </c>
      <c r="R609" s="11">
        <f>SUBTOTAL(3,_xlfn.SINGLE(tbl_file[RowId]))</f>
        <v>1</v>
      </c>
    </row>
    <row r="610" spans="10:18">
      <c r="J610" s="4">
        <v>1717</v>
      </c>
      <c r="K610" s="21" t="str">
        <f>HYPERLINK("obsidian://open?vault=o2&amp;file=2025-02-22.md","2025-02-22")</f>
        <v>2025-02-22</v>
      </c>
      <c r="L610" s="20" t="s">
        <v>175</v>
      </c>
      <c r="M610" s="4"/>
      <c r="N610" s="2" t="s">
        <v>23</v>
      </c>
      <c r="O610" s="2"/>
      <c r="P610" s="4">
        <v>2</v>
      </c>
      <c r="Q610" s="2" t="s">
        <v>2644</v>
      </c>
      <c r="R610" s="11">
        <f>SUBTOTAL(3,_xlfn.SINGLE(tbl_file[RowId]))</f>
        <v>1</v>
      </c>
    </row>
    <row r="611" spans="10:18">
      <c r="J611" s="4">
        <v>1718</v>
      </c>
      <c r="K611" s="21" t="str">
        <f>HYPERLINK("obsidian://open?vault=o2&amp;file=2025-02-22.md","2025-02-22")</f>
        <v>2025-02-22</v>
      </c>
      <c r="L611" s="20" t="s">
        <v>175</v>
      </c>
      <c r="M611" s="4"/>
      <c r="N611" s="2" t="s">
        <v>35</v>
      </c>
      <c r="O611" s="2"/>
      <c r="P611" s="4">
        <v>1</v>
      </c>
      <c r="Q611" s="2" t="s">
        <v>3042</v>
      </c>
      <c r="R611" s="11">
        <f>SUBTOTAL(3,_xlfn.SINGLE(tbl_file[RowId]))</f>
        <v>1</v>
      </c>
    </row>
    <row r="612" spans="10:18">
      <c r="J612" s="4">
        <v>1719</v>
      </c>
      <c r="K612" s="21" t="str">
        <f>HYPERLINK("obsidian://open?vault=o2&amp;file=2025-02-22.md","2025-02-22")</f>
        <v>2025-02-22</v>
      </c>
      <c r="L612" s="20" t="s">
        <v>175</v>
      </c>
      <c r="M612" s="4"/>
      <c r="N612" s="2" t="s">
        <v>2606</v>
      </c>
      <c r="O612" s="2"/>
      <c r="P612" s="4">
        <v>2</v>
      </c>
      <c r="Q612" s="2" t="s">
        <v>2705</v>
      </c>
      <c r="R612" s="11">
        <f>SUBTOTAL(3,_xlfn.SINGLE(tbl_file[RowId]))</f>
        <v>1</v>
      </c>
    </row>
    <row r="613" spans="10:18">
      <c r="J613" s="4">
        <v>1720</v>
      </c>
      <c r="K613" s="21" t="str">
        <f>HYPERLINK("obsidian://open?vault=o2&amp;file=2025-02-22.md","2025-02-22")</f>
        <v>2025-02-22</v>
      </c>
      <c r="L613" s="20" t="s">
        <v>175</v>
      </c>
      <c r="M613" s="4"/>
      <c r="N613" s="2" t="s">
        <v>133</v>
      </c>
      <c r="O613" s="2"/>
      <c r="P613" s="4">
        <v>1</v>
      </c>
      <c r="Q613" s="2" t="s">
        <v>2102</v>
      </c>
      <c r="R613" s="11">
        <f>SUBTOTAL(3,_xlfn.SINGLE(tbl_file[RowId]))</f>
        <v>1</v>
      </c>
    </row>
    <row r="614" spans="10:18">
      <c r="J614" s="4">
        <v>1721</v>
      </c>
      <c r="K614" s="21" t="str">
        <f>HYPERLINK("obsidian://open?vault=o2&amp;file=2025-02-23.md","2025-02-23")</f>
        <v>2025-02-23</v>
      </c>
      <c r="L614" s="20" t="s">
        <v>175</v>
      </c>
      <c r="M614" s="4"/>
      <c r="N614" s="2" t="s">
        <v>23</v>
      </c>
      <c r="O614" s="2"/>
      <c r="P614" s="4">
        <v>2</v>
      </c>
      <c r="Q614" s="2" t="s">
        <v>3043</v>
      </c>
      <c r="R614" s="11">
        <f>SUBTOTAL(3,_xlfn.SINGLE(tbl_file[RowId]))</f>
        <v>1</v>
      </c>
    </row>
    <row r="615" spans="10:18">
      <c r="J615" s="4">
        <v>1722</v>
      </c>
      <c r="K615" s="21" t="str">
        <f>HYPERLINK("obsidian://open?vault=o2&amp;file=2025-02-23.md","2025-02-23")</f>
        <v>2025-02-23</v>
      </c>
      <c r="L615" s="20" t="s">
        <v>175</v>
      </c>
      <c r="M615" s="4"/>
      <c r="N615" s="2" t="s">
        <v>35</v>
      </c>
      <c r="O615" s="2"/>
      <c r="P615" s="4">
        <v>1</v>
      </c>
      <c r="Q615" s="2" t="s">
        <v>3044</v>
      </c>
      <c r="R615" s="11">
        <f>SUBTOTAL(3,_xlfn.SINGLE(tbl_file[RowId]))</f>
        <v>1</v>
      </c>
    </row>
    <row r="616" spans="10:18">
      <c r="J616" s="4">
        <v>1723</v>
      </c>
      <c r="K616" s="21" t="str">
        <f>HYPERLINK("obsidian://open?vault=o2&amp;file=2025-02-23.md","2025-02-23")</f>
        <v>2025-02-23</v>
      </c>
      <c r="L616" s="20" t="s">
        <v>175</v>
      </c>
      <c r="M616" s="4"/>
      <c r="N616" s="2" t="s">
        <v>2606</v>
      </c>
      <c r="O616" s="2"/>
      <c r="P616" s="4">
        <v>2</v>
      </c>
      <c r="Q616" s="2" t="s">
        <v>2705</v>
      </c>
      <c r="R616" s="11">
        <f>SUBTOTAL(3,_xlfn.SINGLE(tbl_file[RowId]))</f>
        <v>1</v>
      </c>
    </row>
    <row r="617" spans="10:18">
      <c r="J617" s="4">
        <v>1724</v>
      </c>
      <c r="K617" s="21" t="str">
        <f>HYPERLINK("obsidian://open?vault=o2&amp;file=2025-02-23.md","2025-02-23")</f>
        <v>2025-02-23</v>
      </c>
      <c r="L617" s="20" t="s">
        <v>175</v>
      </c>
      <c r="M617" s="4"/>
      <c r="N617" s="2" t="s">
        <v>133</v>
      </c>
      <c r="O617" s="2"/>
      <c r="P617" s="4">
        <v>1</v>
      </c>
      <c r="Q617" s="2" t="s">
        <v>2102</v>
      </c>
      <c r="R617" s="11">
        <f>SUBTOTAL(3,_xlfn.SINGLE(tbl_file[RowId]))</f>
        <v>1</v>
      </c>
    </row>
    <row r="618" spans="10:18">
      <c r="J618" s="4">
        <v>1725</v>
      </c>
      <c r="K618" s="21" t="str">
        <f>HYPERLINK("obsidian://open?vault=o2&amp;file=2025-02-24.md","2025-02-24")</f>
        <v>2025-02-24</v>
      </c>
      <c r="L618" s="20" t="s">
        <v>175</v>
      </c>
      <c r="M618" s="4"/>
      <c r="N618" s="2" t="s">
        <v>23</v>
      </c>
      <c r="O618" s="2"/>
      <c r="P618" s="4">
        <v>2</v>
      </c>
      <c r="Q618" s="2" t="s">
        <v>2644</v>
      </c>
      <c r="R618" s="11">
        <f>SUBTOTAL(3,_xlfn.SINGLE(tbl_file[RowId]))</f>
        <v>1</v>
      </c>
    </row>
    <row r="619" spans="10:18">
      <c r="J619" s="4">
        <v>1726</v>
      </c>
      <c r="K619" s="21" t="str">
        <f>HYPERLINK("obsidian://open?vault=o2&amp;file=2025-02-24.md","2025-02-24")</f>
        <v>2025-02-24</v>
      </c>
      <c r="L619" s="20" t="s">
        <v>175</v>
      </c>
      <c r="M619" s="4"/>
      <c r="N619" s="2" t="s">
        <v>35</v>
      </c>
      <c r="O619" s="2"/>
      <c r="P619" s="4">
        <v>1</v>
      </c>
      <c r="Q619" s="2" t="s">
        <v>3045</v>
      </c>
      <c r="R619" s="11">
        <f>SUBTOTAL(3,_xlfn.SINGLE(tbl_file[RowId]))</f>
        <v>1</v>
      </c>
    </row>
    <row r="620" spans="10:18">
      <c r="J620" s="4">
        <v>1727</v>
      </c>
      <c r="K620" s="21" t="str">
        <f>HYPERLINK("obsidian://open?vault=o2&amp;file=2025-02-24.md","2025-02-24")</f>
        <v>2025-02-24</v>
      </c>
      <c r="L620" s="20" t="s">
        <v>175</v>
      </c>
      <c r="M620" s="4"/>
      <c r="N620" s="2" t="s">
        <v>2606</v>
      </c>
      <c r="O620" s="2"/>
      <c r="P620" s="4">
        <v>2</v>
      </c>
      <c r="Q620" s="2" t="s">
        <v>2705</v>
      </c>
      <c r="R620" s="11">
        <f>SUBTOTAL(3,_xlfn.SINGLE(tbl_file[RowId]))</f>
        <v>1</v>
      </c>
    </row>
    <row r="621" spans="10:18">
      <c r="J621" s="4">
        <v>1728</v>
      </c>
      <c r="K621" s="21" t="str">
        <f>HYPERLINK("obsidian://open?vault=o2&amp;file=2025-02-24.md","2025-02-24")</f>
        <v>2025-02-24</v>
      </c>
      <c r="L621" s="20" t="s">
        <v>175</v>
      </c>
      <c r="M621" s="4"/>
      <c r="N621" s="2" t="s">
        <v>133</v>
      </c>
      <c r="O621" s="2"/>
      <c r="P621" s="4">
        <v>1</v>
      </c>
      <c r="Q621" s="2" t="s">
        <v>2102</v>
      </c>
      <c r="R621" s="11">
        <f>SUBTOTAL(3,_xlfn.SINGLE(tbl_file[RowId]))</f>
        <v>1</v>
      </c>
    </row>
    <row r="622" spans="10:18">
      <c r="J622" s="4">
        <v>1729</v>
      </c>
      <c r="K622" s="21" t="str">
        <f>HYPERLINK("obsidian://open?vault=o2&amp;file=2025-02-25.md","2025-02-25")</f>
        <v>2025-02-25</v>
      </c>
      <c r="L622" s="20" t="s">
        <v>175</v>
      </c>
      <c r="M622" s="4"/>
      <c r="N622" s="2" t="s">
        <v>21</v>
      </c>
      <c r="O622" s="2"/>
      <c r="P622" s="4">
        <v>2</v>
      </c>
      <c r="Q622" s="2" t="s">
        <v>2644</v>
      </c>
      <c r="R622" s="11">
        <f>SUBTOTAL(3,_xlfn.SINGLE(tbl_file[RowId]))</f>
        <v>1</v>
      </c>
    </row>
    <row r="623" spans="10:18">
      <c r="J623" s="4">
        <v>1730</v>
      </c>
      <c r="K623" s="21" t="str">
        <f>HYPERLINK("obsidian://open?vault=o2&amp;file=2025-02-25.md","2025-02-25")</f>
        <v>2025-02-25</v>
      </c>
      <c r="L623" s="20" t="s">
        <v>175</v>
      </c>
      <c r="M623" s="4"/>
      <c r="N623" s="2" t="s">
        <v>35</v>
      </c>
      <c r="O623" s="2"/>
      <c r="P623" s="4">
        <v>1</v>
      </c>
      <c r="Q623" s="2" t="s">
        <v>3046</v>
      </c>
      <c r="R623" s="11">
        <f>SUBTOTAL(3,_xlfn.SINGLE(tbl_file[RowId]))</f>
        <v>1</v>
      </c>
    </row>
    <row r="624" spans="10:18">
      <c r="J624" s="4">
        <v>1731</v>
      </c>
      <c r="K624" s="21" t="str">
        <f>HYPERLINK("obsidian://open?vault=o2&amp;file=2025-02-25.md","2025-02-25")</f>
        <v>2025-02-25</v>
      </c>
      <c r="L624" s="20" t="s">
        <v>175</v>
      </c>
      <c r="M624" s="4"/>
      <c r="N624" s="2" t="s">
        <v>2606</v>
      </c>
      <c r="O624" s="2"/>
      <c r="P624" s="4">
        <v>2</v>
      </c>
      <c r="Q624" s="2" t="s">
        <v>2705</v>
      </c>
      <c r="R624" s="11">
        <f>SUBTOTAL(3,_xlfn.SINGLE(tbl_file[RowId]))</f>
        <v>1</v>
      </c>
    </row>
    <row r="625" spans="10:18">
      <c r="J625" s="4">
        <v>1732</v>
      </c>
      <c r="K625" s="21" t="str">
        <f>HYPERLINK("obsidian://open?vault=o2&amp;file=2025-02-25.md","2025-02-25")</f>
        <v>2025-02-25</v>
      </c>
      <c r="L625" s="20" t="s">
        <v>175</v>
      </c>
      <c r="M625" s="4"/>
      <c r="N625" s="2" t="s">
        <v>133</v>
      </c>
      <c r="O625" s="2"/>
      <c r="P625" s="4">
        <v>1</v>
      </c>
      <c r="Q625" s="2" t="s">
        <v>2102</v>
      </c>
      <c r="R625" s="11">
        <f>SUBTOTAL(3,_xlfn.SINGLE(tbl_file[RowId]))</f>
        <v>1</v>
      </c>
    </row>
    <row r="626" spans="10:18">
      <c r="J626" s="4">
        <v>1733</v>
      </c>
      <c r="K626" s="21" t="str">
        <f>HYPERLINK("obsidian://open?vault=o2&amp;file=2025-02-26.md","2025-02-26")</f>
        <v>2025-02-26</v>
      </c>
      <c r="L626" s="20" t="s">
        <v>175</v>
      </c>
      <c r="M626" s="4"/>
      <c r="N626" s="2" t="s">
        <v>21</v>
      </c>
      <c r="O626" s="2"/>
      <c r="P626" s="4">
        <v>2</v>
      </c>
      <c r="Q626" s="2" t="s">
        <v>2644</v>
      </c>
      <c r="R626" s="11">
        <f>SUBTOTAL(3,_xlfn.SINGLE(tbl_file[RowId]))</f>
        <v>1</v>
      </c>
    </row>
    <row r="627" spans="10:18">
      <c r="J627" s="4">
        <v>1734</v>
      </c>
      <c r="K627" s="21" t="str">
        <f>HYPERLINK("obsidian://open?vault=o2&amp;file=2025-02-26.md","2025-02-26")</f>
        <v>2025-02-26</v>
      </c>
      <c r="L627" s="20" t="s">
        <v>175</v>
      </c>
      <c r="M627" s="4"/>
      <c r="N627" s="2" t="s">
        <v>35</v>
      </c>
      <c r="O627" s="2"/>
      <c r="P627" s="4">
        <v>1</v>
      </c>
      <c r="Q627" s="2" t="s">
        <v>3047</v>
      </c>
      <c r="R627" s="11">
        <f>SUBTOTAL(3,_xlfn.SINGLE(tbl_file[RowId]))</f>
        <v>1</v>
      </c>
    </row>
    <row r="628" spans="10:18">
      <c r="J628" s="4">
        <v>1735</v>
      </c>
      <c r="K628" s="21" t="str">
        <f>HYPERLINK("obsidian://open?vault=o2&amp;file=2025-02-26.md","2025-02-26")</f>
        <v>2025-02-26</v>
      </c>
      <c r="L628" s="20" t="s">
        <v>175</v>
      </c>
      <c r="M628" s="4"/>
      <c r="N628" s="2" t="s">
        <v>2606</v>
      </c>
      <c r="O628" s="2"/>
      <c r="P628" s="4">
        <v>2</v>
      </c>
      <c r="Q628" s="2" t="s">
        <v>2705</v>
      </c>
      <c r="R628" s="11">
        <f>SUBTOTAL(3,_xlfn.SINGLE(tbl_file[RowId]))</f>
        <v>1</v>
      </c>
    </row>
    <row r="629" spans="10:18">
      <c r="J629" s="4">
        <v>1736</v>
      </c>
      <c r="K629" s="21" t="str">
        <f>HYPERLINK("obsidian://open?vault=o2&amp;file=2025-02-26.md","2025-02-26")</f>
        <v>2025-02-26</v>
      </c>
      <c r="L629" s="20" t="s">
        <v>175</v>
      </c>
      <c r="M629" s="4"/>
      <c r="N629" s="2" t="s">
        <v>133</v>
      </c>
      <c r="O629" s="2"/>
      <c r="P629" s="4">
        <v>1</v>
      </c>
      <c r="Q629" s="2" t="s">
        <v>2102</v>
      </c>
      <c r="R629" s="11">
        <f>SUBTOTAL(3,_xlfn.SINGLE(tbl_file[RowId]))</f>
        <v>1</v>
      </c>
    </row>
    <row r="630" spans="10:18">
      <c r="J630" s="4">
        <v>1737</v>
      </c>
      <c r="K630" s="21" t="str">
        <f>HYPERLINK("obsidian://open?vault=o2&amp;file=2025-02-27.md","2025-02-27")</f>
        <v>2025-02-27</v>
      </c>
      <c r="L630" s="20" t="s">
        <v>175</v>
      </c>
      <c r="M630" s="4"/>
      <c r="N630" s="2" t="s">
        <v>21</v>
      </c>
      <c r="O630" s="2"/>
      <c r="P630" s="4">
        <v>2</v>
      </c>
      <c r="Q630" s="2" t="s">
        <v>2644</v>
      </c>
      <c r="R630" s="11">
        <f>SUBTOTAL(3,_xlfn.SINGLE(tbl_file[RowId]))</f>
        <v>1</v>
      </c>
    </row>
    <row r="631" spans="10:18">
      <c r="J631" s="4">
        <v>1738</v>
      </c>
      <c r="K631" s="21" t="str">
        <f>HYPERLINK("obsidian://open?vault=o2&amp;file=2025-02-27.md","2025-02-27")</f>
        <v>2025-02-27</v>
      </c>
      <c r="L631" s="20" t="s">
        <v>175</v>
      </c>
      <c r="M631" s="4"/>
      <c r="N631" s="2" t="s">
        <v>35</v>
      </c>
      <c r="O631" s="2"/>
      <c r="P631" s="4">
        <v>1</v>
      </c>
      <c r="Q631" s="2" t="s">
        <v>3048</v>
      </c>
      <c r="R631" s="11">
        <f>SUBTOTAL(3,_xlfn.SINGLE(tbl_file[RowId]))</f>
        <v>1</v>
      </c>
    </row>
    <row r="632" spans="10:18">
      <c r="J632" s="4">
        <v>1739</v>
      </c>
      <c r="K632" s="21" t="str">
        <f>HYPERLINK("obsidian://open?vault=o2&amp;file=2025-02-27.md","2025-02-27")</f>
        <v>2025-02-27</v>
      </c>
      <c r="L632" s="20" t="s">
        <v>175</v>
      </c>
      <c r="M632" s="4"/>
      <c r="N632" s="2" t="s">
        <v>2606</v>
      </c>
      <c r="O632" s="2"/>
      <c r="P632" s="4">
        <v>2</v>
      </c>
      <c r="Q632" s="2" t="s">
        <v>2705</v>
      </c>
      <c r="R632" s="11">
        <f>SUBTOTAL(3,_xlfn.SINGLE(tbl_file[RowId]))</f>
        <v>1</v>
      </c>
    </row>
    <row r="633" spans="10:18">
      <c r="J633" s="4">
        <v>1740</v>
      </c>
      <c r="K633" s="21" t="str">
        <f>HYPERLINK("obsidian://open?vault=o2&amp;file=2025-02-27.md","2025-02-27")</f>
        <v>2025-02-27</v>
      </c>
      <c r="L633" s="20" t="s">
        <v>175</v>
      </c>
      <c r="M633" s="4"/>
      <c r="N633" s="2" t="s">
        <v>133</v>
      </c>
      <c r="O633" s="2"/>
      <c r="P633" s="4">
        <v>1</v>
      </c>
      <c r="Q633" s="2" t="s">
        <v>2102</v>
      </c>
      <c r="R633" s="11">
        <f>SUBTOTAL(3,_xlfn.SINGLE(tbl_file[RowId]))</f>
        <v>1</v>
      </c>
    </row>
    <row r="634" spans="10:18">
      <c r="J634" s="4">
        <v>1741</v>
      </c>
      <c r="K634" s="21" t="str">
        <f>HYPERLINK("obsidian://open?vault=o2&amp;file=2025-03-01.md","2025-03-01")</f>
        <v>2025-03-01</v>
      </c>
      <c r="L634" s="20" t="s">
        <v>175</v>
      </c>
      <c r="M634" s="4"/>
      <c r="N634" s="2" t="s">
        <v>21</v>
      </c>
      <c r="O634" s="2"/>
      <c r="P634" s="4">
        <v>2</v>
      </c>
      <c r="Q634" s="2" t="s">
        <v>2644</v>
      </c>
      <c r="R634" s="11">
        <f>SUBTOTAL(3,_xlfn.SINGLE(tbl_file[RowId]))</f>
        <v>1</v>
      </c>
    </row>
    <row r="635" spans="10:18">
      <c r="J635" s="4">
        <v>1742</v>
      </c>
      <c r="K635" s="21" t="str">
        <f>HYPERLINK("obsidian://open?vault=o2&amp;file=2025-03-01.md","2025-03-01")</f>
        <v>2025-03-01</v>
      </c>
      <c r="L635" s="20" t="s">
        <v>175</v>
      </c>
      <c r="M635" s="4"/>
      <c r="N635" s="2" t="s">
        <v>35</v>
      </c>
      <c r="O635" s="2"/>
      <c r="P635" s="4">
        <v>1</v>
      </c>
      <c r="Q635" s="2" t="s">
        <v>3049</v>
      </c>
      <c r="R635" s="11">
        <f>SUBTOTAL(3,_xlfn.SINGLE(tbl_file[RowId]))</f>
        <v>1</v>
      </c>
    </row>
    <row r="636" spans="10:18">
      <c r="J636" s="4">
        <v>1743</v>
      </c>
      <c r="K636" s="21" t="str">
        <f>HYPERLINK("obsidian://open?vault=o2&amp;file=2025-03-01.md","2025-03-01")</f>
        <v>2025-03-01</v>
      </c>
      <c r="L636" s="20" t="s">
        <v>175</v>
      </c>
      <c r="M636" s="4"/>
      <c r="N636" s="2" t="s">
        <v>2606</v>
      </c>
      <c r="O636" s="2"/>
      <c r="P636" s="4">
        <v>2</v>
      </c>
      <c r="Q636" s="2" t="s">
        <v>2705</v>
      </c>
      <c r="R636" s="11">
        <f>SUBTOTAL(3,_xlfn.SINGLE(tbl_file[RowId]))</f>
        <v>1</v>
      </c>
    </row>
    <row r="637" spans="10:18">
      <c r="J637" s="4">
        <v>1744</v>
      </c>
      <c r="K637" s="21" t="str">
        <f>HYPERLINK("obsidian://open?vault=o2&amp;file=2025-03-01.md","2025-03-01")</f>
        <v>2025-03-01</v>
      </c>
      <c r="L637" s="20" t="s">
        <v>175</v>
      </c>
      <c r="M637" s="4"/>
      <c r="N637" s="2" t="s">
        <v>133</v>
      </c>
      <c r="O637" s="2"/>
      <c r="P637" s="4">
        <v>1</v>
      </c>
      <c r="Q637" s="2" t="s">
        <v>2102</v>
      </c>
      <c r="R637" s="11">
        <f>SUBTOTAL(3,_xlfn.SINGLE(tbl_file[RowId]))</f>
        <v>1</v>
      </c>
    </row>
    <row r="638" spans="10:18">
      <c r="J638" s="4">
        <v>1745</v>
      </c>
      <c r="K638" s="21" t="str">
        <f>HYPERLINK("obsidian://open?vault=o2&amp;file=2025-03-02.md","2025-03-02")</f>
        <v>2025-03-02</v>
      </c>
      <c r="L638" s="20" t="s">
        <v>175</v>
      </c>
      <c r="M638" s="4"/>
      <c r="N638" s="2" t="s">
        <v>21</v>
      </c>
      <c r="O638" s="2"/>
      <c r="P638" s="4">
        <v>2</v>
      </c>
      <c r="Q638" s="2" t="s">
        <v>2644</v>
      </c>
      <c r="R638" s="11">
        <f>SUBTOTAL(3,_xlfn.SINGLE(tbl_file[RowId]))</f>
        <v>1</v>
      </c>
    </row>
    <row r="639" spans="10:18">
      <c r="J639" s="4">
        <v>1746</v>
      </c>
      <c r="K639" s="21" t="str">
        <f>HYPERLINK("obsidian://open?vault=o2&amp;file=2025-03-02.md","2025-03-02")</f>
        <v>2025-03-02</v>
      </c>
      <c r="L639" s="20" t="s">
        <v>175</v>
      </c>
      <c r="M639" s="4"/>
      <c r="N639" s="2" t="s">
        <v>35</v>
      </c>
      <c r="O639" s="2"/>
      <c r="P639" s="4">
        <v>1</v>
      </c>
      <c r="Q639" s="2" t="s">
        <v>3050</v>
      </c>
      <c r="R639" s="11">
        <f>SUBTOTAL(3,_xlfn.SINGLE(tbl_file[RowId]))</f>
        <v>1</v>
      </c>
    </row>
    <row r="640" spans="10:18">
      <c r="J640" s="4">
        <v>1747</v>
      </c>
      <c r="K640" s="21" t="str">
        <f>HYPERLINK("obsidian://open?vault=o2&amp;file=2025-03-02.md","2025-03-02")</f>
        <v>2025-03-02</v>
      </c>
      <c r="L640" s="20" t="s">
        <v>175</v>
      </c>
      <c r="M640" s="4"/>
      <c r="N640" s="2" t="s">
        <v>2606</v>
      </c>
      <c r="O640" s="2"/>
      <c r="P640" s="4">
        <v>2</v>
      </c>
      <c r="Q640" s="2" t="s">
        <v>2705</v>
      </c>
      <c r="R640" s="11">
        <f>SUBTOTAL(3,_xlfn.SINGLE(tbl_file[RowId]))</f>
        <v>1</v>
      </c>
    </row>
    <row r="641" spans="10:18">
      <c r="J641" s="4">
        <v>1748</v>
      </c>
      <c r="K641" s="21" t="str">
        <f>HYPERLINK("obsidian://open?vault=o2&amp;file=2025-03-02.md","2025-03-02")</f>
        <v>2025-03-02</v>
      </c>
      <c r="L641" s="20" t="s">
        <v>175</v>
      </c>
      <c r="M641" s="4"/>
      <c r="N641" s="2" t="s">
        <v>133</v>
      </c>
      <c r="O641" s="2"/>
      <c r="P641" s="4">
        <v>1</v>
      </c>
      <c r="Q641" s="2" t="s">
        <v>2102</v>
      </c>
      <c r="R641" s="11">
        <f>SUBTOTAL(3,_xlfn.SINGLE(tbl_file[RowId]))</f>
        <v>1</v>
      </c>
    </row>
    <row r="642" spans="10:18">
      <c r="J642" s="4">
        <v>1749</v>
      </c>
      <c r="K642" s="21" t="str">
        <f>HYPERLINK("obsidian://open?vault=o2&amp;file=2025-03-03.md","2025-03-03")</f>
        <v>2025-03-03</v>
      </c>
      <c r="L642" s="20" t="s">
        <v>175</v>
      </c>
      <c r="M642" s="4"/>
      <c r="N642" s="2" t="s">
        <v>21</v>
      </c>
      <c r="O642" s="2"/>
      <c r="P642" s="4">
        <v>2</v>
      </c>
      <c r="Q642" s="2" t="s">
        <v>2644</v>
      </c>
      <c r="R642" s="11">
        <f>SUBTOTAL(3,_xlfn.SINGLE(tbl_file[RowId]))</f>
        <v>1</v>
      </c>
    </row>
    <row r="643" spans="10:18">
      <c r="J643" s="4">
        <v>1750</v>
      </c>
      <c r="K643" s="21" t="str">
        <f>HYPERLINK("obsidian://open?vault=o2&amp;file=2025-03-03.md","2025-03-03")</f>
        <v>2025-03-03</v>
      </c>
      <c r="L643" s="20" t="s">
        <v>175</v>
      </c>
      <c r="M643" s="4"/>
      <c r="N643" s="2" t="s">
        <v>35</v>
      </c>
      <c r="O643" s="2"/>
      <c r="P643" s="4">
        <v>1</v>
      </c>
      <c r="Q643" s="2" t="s">
        <v>3051</v>
      </c>
      <c r="R643" s="11">
        <f>SUBTOTAL(3,_xlfn.SINGLE(tbl_file[RowId]))</f>
        <v>1</v>
      </c>
    </row>
    <row r="644" spans="10:18">
      <c r="J644" s="4">
        <v>1751</v>
      </c>
      <c r="K644" s="21" t="str">
        <f>HYPERLINK("obsidian://open?vault=o2&amp;file=2025-03-03.md","2025-03-03")</f>
        <v>2025-03-03</v>
      </c>
      <c r="L644" s="20" t="s">
        <v>175</v>
      </c>
      <c r="M644" s="4"/>
      <c r="N644" s="2" t="s">
        <v>2606</v>
      </c>
      <c r="O644" s="2"/>
      <c r="P644" s="4">
        <v>2</v>
      </c>
      <c r="Q644" s="2" t="s">
        <v>2705</v>
      </c>
      <c r="R644" s="11">
        <f>SUBTOTAL(3,_xlfn.SINGLE(tbl_file[RowId]))</f>
        <v>1</v>
      </c>
    </row>
    <row r="645" spans="10:18">
      <c r="J645" s="4">
        <v>1752</v>
      </c>
      <c r="K645" s="21" t="str">
        <f>HYPERLINK("obsidian://open?vault=o2&amp;file=2025-03-03.md","2025-03-03")</f>
        <v>2025-03-03</v>
      </c>
      <c r="L645" s="20" t="s">
        <v>175</v>
      </c>
      <c r="M645" s="4"/>
      <c r="N645" s="2" t="s">
        <v>133</v>
      </c>
      <c r="O645" s="2"/>
      <c r="P645" s="4">
        <v>1</v>
      </c>
      <c r="Q645" s="2" t="s">
        <v>2102</v>
      </c>
      <c r="R645" s="11">
        <f>SUBTOTAL(3,_xlfn.SINGLE(tbl_file[RowId]))</f>
        <v>1</v>
      </c>
    </row>
    <row r="646" spans="10:18">
      <c r="J646" s="4">
        <v>1753</v>
      </c>
      <c r="K646" s="21" t="str">
        <f>HYPERLINK("obsidian://open?vault=o2&amp;file=2025-03-04.md","2025-03-04")</f>
        <v>2025-03-04</v>
      </c>
      <c r="L646" s="20" t="s">
        <v>175</v>
      </c>
      <c r="M646" s="4"/>
      <c r="N646" s="2" t="s">
        <v>23</v>
      </c>
      <c r="O646" s="2"/>
      <c r="P646" s="4">
        <v>2</v>
      </c>
      <c r="Q646" s="2" t="s">
        <v>2644</v>
      </c>
      <c r="R646" s="11">
        <f>SUBTOTAL(3,_xlfn.SINGLE(tbl_file[RowId]))</f>
        <v>1</v>
      </c>
    </row>
    <row r="647" spans="10:18">
      <c r="J647" s="4">
        <v>1754</v>
      </c>
      <c r="K647" s="21" t="str">
        <f>HYPERLINK("obsidian://open?vault=o2&amp;file=2025-03-04.md","2025-03-04")</f>
        <v>2025-03-04</v>
      </c>
      <c r="L647" s="20" t="s">
        <v>175</v>
      </c>
      <c r="M647" s="4"/>
      <c r="N647" s="2" t="s">
        <v>35</v>
      </c>
      <c r="O647" s="2"/>
      <c r="P647" s="4">
        <v>1</v>
      </c>
      <c r="Q647" s="2" t="s">
        <v>3052</v>
      </c>
      <c r="R647" s="11">
        <f>SUBTOTAL(3,_xlfn.SINGLE(tbl_file[RowId]))</f>
        <v>1</v>
      </c>
    </row>
    <row r="648" spans="10:18">
      <c r="J648" s="4">
        <v>1755</v>
      </c>
      <c r="K648" s="21" t="str">
        <f>HYPERLINK("obsidian://open?vault=o2&amp;file=2025-03-04.md","2025-03-04")</f>
        <v>2025-03-04</v>
      </c>
      <c r="L648" s="20" t="s">
        <v>175</v>
      </c>
      <c r="M648" s="4"/>
      <c r="N648" s="2" t="s">
        <v>2606</v>
      </c>
      <c r="O648" s="2"/>
      <c r="P648" s="4">
        <v>3</v>
      </c>
      <c r="Q648" s="2" t="s">
        <v>3053</v>
      </c>
      <c r="R648" s="11">
        <f>SUBTOTAL(3,_xlfn.SINGLE(tbl_file[RowId]))</f>
        <v>1</v>
      </c>
    </row>
    <row r="649" spans="10:18">
      <c r="J649" s="4">
        <v>1756</v>
      </c>
      <c r="K649" s="21" t="str">
        <f>HYPERLINK("obsidian://open?vault=o2&amp;file=2025-03-04.md","2025-03-04")</f>
        <v>2025-03-04</v>
      </c>
      <c r="L649" s="20" t="s">
        <v>175</v>
      </c>
      <c r="M649" s="4"/>
      <c r="N649" s="2" t="s">
        <v>133</v>
      </c>
      <c r="O649" s="2"/>
      <c r="P649" s="4">
        <v>1</v>
      </c>
      <c r="Q649" s="2" t="s">
        <v>2102</v>
      </c>
      <c r="R649" s="11">
        <f>SUBTOTAL(3,_xlfn.SINGLE(tbl_file[RowId]))</f>
        <v>1</v>
      </c>
    </row>
    <row r="650" spans="10:18">
      <c r="J650" s="4">
        <v>1757</v>
      </c>
      <c r="K650" s="21" t="str">
        <f>HYPERLINK("obsidian://open?vault=o2&amp;file=2025-03-04.md","2025-03-04")</f>
        <v>2025-03-04</v>
      </c>
      <c r="L650" s="20" t="s">
        <v>175</v>
      </c>
      <c r="M650" s="4" t="s">
        <v>2626</v>
      </c>
      <c r="N650" s="2" t="s">
        <v>2606</v>
      </c>
      <c r="O650" s="2"/>
      <c r="P650" s="4">
        <v>1</v>
      </c>
      <c r="Q650" s="2" t="s">
        <v>2355</v>
      </c>
      <c r="R650" s="11">
        <f>SUBTOTAL(3,_xlfn.SINGLE(tbl_file[RowId]))</f>
        <v>1</v>
      </c>
    </row>
    <row r="651" spans="10:18">
      <c r="J651" s="4">
        <v>1758</v>
      </c>
      <c r="K651" s="21" t="str">
        <f>HYPERLINK("obsidian://open?vault=o2&amp;file=2025-03-05.md","2025-03-05")</f>
        <v>2025-03-05</v>
      </c>
      <c r="L651" s="20" t="s">
        <v>175</v>
      </c>
      <c r="M651" s="4"/>
      <c r="N651" s="2" t="s">
        <v>21</v>
      </c>
      <c r="O651" s="2"/>
      <c r="P651" s="4">
        <v>2</v>
      </c>
      <c r="Q651" s="2" t="s">
        <v>2644</v>
      </c>
      <c r="R651" s="11">
        <f>SUBTOTAL(3,_xlfn.SINGLE(tbl_file[RowId]))</f>
        <v>1</v>
      </c>
    </row>
    <row r="652" spans="10:18">
      <c r="J652" s="4">
        <v>1759</v>
      </c>
      <c r="K652" s="21" t="str">
        <f>HYPERLINK("obsidian://open?vault=o2&amp;file=2025-03-05.md","2025-03-05")</f>
        <v>2025-03-05</v>
      </c>
      <c r="L652" s="20" t="s">
        <v>175</v>
      </c>
      <c r="M652" s="4"/>
      <c r="N652" s="2" t="s">
        <v>35</v>
      </c>
      <c r="O652" s="2"/>
      <c r="P652" s="4">
        <v>1</v>
      </c>
      <c r="Q652" s="2" t="s">
        <v>3054</v>
      </c>
      <c r="R652" s="11">
        <f>SUBTOTAL(3,_xlfn.SINGLE(tbl_file[RowId]))</f>
        <v>1</v>
      </c>
    </row>
    <row r="653" spans="10:18">
      <c r="J653" s="4">
        <v>1760</v>
      </c>
      <c r="K653" s="21" t="str">
        <f>HYPERLINK("obsidian://open?vault=o2&amp;file=2025-03-05.md","2025-03-05")</f>
        <v>2025-03-05</v>
      </c>
      <c r="L653" s="20" t="s">
        <v>175</v>
      </c>
      <c r="M653" s="4"/>
      <c r="N653" s="2" t="s">
        <v>2606</v>
      </c>
      <c r="O653" s="2"/>
      <c r="P653" s="4">
        <v>2</v>
      </c>
      <c r="Q653" s="2" t="s">
        <v>2705</v>
      </c>
      <c r="R653" s="11">
        <f>SUBTOTAL(3,_xlfn.SINGLE(tbl_file[RowId]))</f>
        <v>1</v>
      </c>
    </row>
    <row r="654" spans="10:18">
      <c r="J654" s="4">
        <v>1761</v>
      </c>
      <c r="K654" s="21" t="str">
        <f>HYPERLINK("obsidian://open?vault=o2&amp;file=2025-03-05.md","2025-03-05")</f>
        <v>2025-03-05</v>
      </c>
      <c r="L654" s="20" t="s">
        <v>175</v>
      </c>
      <c r="M654" s="4"/>
      <c r="N654" s="2" t="s">
        <v>133</v>
      </c>
      <c r="O654" s="2"/>
      <c r="P654" s="4">
        <v>1</v>
      </c>
      <c r="Q654" s="2" t="s">
        <v>2102</v>
      </c>
      <c r="R654" s="11">
        <f>SUBTOTAL(3,_xlfn.SINGLE(tbl_file[RowId]))</f>
        <v>1</v>
      </c>
    </row>
    <row r="655" spans="10:18">
      <c r="J655" s="4">
        <v>1762</v>
      </c>
      <c r="K655" s="21" t="str">
        <f>HYPERLINK("obsidian://open?vault=o2&amp;file=2025-03-08.md","2025-03-08")</f>
        <v>2025-03-08</v>
      </c>
      <c r="L655" s="20" t="s">
        <v>175</v>
      </c>
      <c r="M655" s="4"/>
      <c r="N655" s="2" t="s">
        <v>21</v>
      </c>
      <c r="O655" s="2"/>
      <c r="P655" s="4">
        <v>2</v>
      </c>
      <c r="Q655" s="2" t="s">
        <v>2644</v>
      </c>
      <c r="R655" s="11">
        <f>SUBTOTAL(3,_xlfn.SINGLE(tbl_file[RowId]))</f>
        <v>1</v>
      </c>
    </row>
    <row r="656" spans="10:18">
      <c r="J656" s="4">
        <v>1763</v>
      </c>
      <c r="K656" s="21" t="str">
        <f>HYPERLINK("obsidian://open?vault=o2&amp;file=2025-03-08.md","2025-03-08")</f>
        <v>2025-03-08</v>
      </c>
      <c r="L656" s="20" t="s">
        <v>175</v>
      </c>
      <c r="M656" s="4"/>
      <c r="N656" s="2" t="s">
        <v>35</v>
      </c>
      <c r="O656" s="2"/>
      <c r="P656" s="4">
        <v>1</v>
      </c>
      <c r="Q656" s="2" t="s">
        <v>3055</v>
      </c>
      <c r="R656" s="11">
        <f>SUBTOTAL(3,_xlfn.SINGLE(tbl_file[RowId]))</f>
        <v>1</v>
      </c>
    </row>
    <row r="657" spans="10:18">
      <c r="J657" s="4">
        <v>1764</v>
      </c>
      <c r="K657" s="21" t="str">
        <f>HYPERLINK("obsidian://open?vault=o2&amp;file=2025-03-08.md","2025-03-08")</f>
        <v>2025-03-08</v>
      </c>
      <c r="L657" s="20" t="s">
        <v>175</v>
      </c>
      <c r="M657" s="4"/>
      <c r="N657" s="2" t="s">
        <v>2606</v>
      </c>
      <c r="O657" s="2"/>
      <c r="P657" s="4">
        <v>2</v>
      </c>
      <c r="Q657" s="2" t="s">
        <v>2705</v>
      </c>
      <c r="R657" s="11">
        <f>SUBTOTAL(3,_xlfn.SINGLE(tbl_file[RowId]))</f>
        <v>1</v>
      </c>
    </row>
    <row r="658" spans="10:18">
      <c r="J658" s="4">
        <v>1765</v>
      </c>
      <c r="K658" s="21" t="str">
        <f>HYPERLINK("obsidian://open?vault=o2&amp;file=2025-03-08.md","2025-03-08")</f>
        <v>2025-03-08</v>
      </c>
      <c r="L658" s="20" t="s">
        <v>175</v>
      </c>
      <c r="M658" s="4"/>
      <c r="N658" s="2" t="s">
        <v>133</v>
      </c>
      <c r="O658" s="2"/>
      <c r="P658" s="4">
        <v>1</v>
      </c>
      <c r="Q658" s="2" t="s">
        <v>2102</v>
      </c>
      <c r="R658" s="11">
        <f>SUBTOTAL(3,_xlfn.SINGLE(tbl_file[RowId]))</f>
        <v>1</v>
      </c>
    </row>
    <row r="659" spans="10:18">
      <c r="J659" s="4">
        <v>1766</v>
      </c>
      <c r="K659" s="21" t="str">
        <f>HYPERLINK("obsidian://open?vault=o2&amp;file=2025-03-08.md","2025-03-08")</f>
        <v>2025-03-08</v>
      </c>
      <c r="L659" s="20" t="s">
        <v>175</v>
      </c>
      <c r="M659" s="4" t="s">
        <v>2626</v>
      </c>
      <c r="N659" s="2" t="s">
        <v>2606</v>
      </c>
      <c r="O659" s="2"/>
      <c r="P659" s="4">
        <v>1</v>
      </c>
      <c r="Q659" s="2" t="s">
        <v>2379</v>
      </c>
      <c r="R659" s="11">
        <f>SUBTOTAL(3,_xlfn.SINGLE(tbl_file[RowId]))</f>
        <v>1</v>
      </c>
    </row>
    <row r="660" spans="10:18">
      <c r="J660" s="4">
        <v>1767</v>
      </c>
      <c r="K660" s="21" t="str">
        <f>HYPERLINK("obsidian://open?vault=o2&amp;file=2025-03-09.md","2025-03-09")</f>
        <v>2025-03-09</v>
      </c>
      <c r="L660" s="20" t="s">
        <v>175</v>
      </c>
      <c r="M660" s="4"/>
      <c r="N660" s="2" t="s">
        <v>21</v>
      </c>
      <c r="O660" s="2"/>
      <c r="P660" s="4">
        <v>2</v>
      </c>
      <c r="Q660" s="2" t="s">
        <v>2644</v>
      </c>
      <c r="R660" s="11">
        <f>SUBTOTAL(3,_xlfn.SINGLE(tbl_file[RowId]))</f>
        <v>1</v>
      </c>
    </row>
    <row r="661" spans="10:18">
      <c r="J661" s="4">
        <v>1768</v>
      </c>
      <c r="K661" s="21" t="str">
        <f>HYPERLINK("obsidian://open?vault=o2&amp;file=2025-03-09.md","2025-03-09")</f>
        <v>2025-03-09</v>
      </c>
      <c r="L661" s="20" t="s">
        <v>175</v>
      </c>
      <c r="M661" s="4"/>
      <c r="N661" s="2" t="s">
        <v>35</v>
      </c>
      <c r="O661" s="2"/>
      <c r="P661" s="4">
        <v>1</v>
      </c>
      <c r="Q661" s="2" t="s">
        <v>3056</v>
      </c>
      <c r="R661" s="11">
        <f>SUBTOTAL(3,_xlfn.SINGLE(tbl_file[RowId]))</f>
        <v>1</v>
      </c>
    </row>
    <row r="662" spans="10:18">
      <c r="J662" s="4">
        <v>1769</v>
      </c>
      <c r="K662" s="21" t="str">
        <f>HYPERLINK("obsidian://open?vault=o2&amp;file=2025-03-09.md","2025-03-09")</f>
        <v>2025-03-09</v>
      </c>
      <c r="L662" s="20" t="s">
        <v>175</v>
      </c>
      <c r="M662" s="4"/>
      <c r="N662" s="2" t="s">
        <v>2606</v>
      </c>
      <c r="O662" s="2"/>
      <c r="P662" s="4">
        <v>2</v>
      </c>
      <c r="Q662" s="2" t="s">
        <v>2705</v>
      </c>
      <c r="R662" s="11">
        <f>SUBTOTAL(3,_xlfn.SINGLE(tbl_file[RowId]))</f>
        <v>1</v>
      </c>
    </row>
    <row r="663" spans="10:18">
      <c r="J663" s="4">
        <v>1770</v>
      </c>
      <c r="K663" s="21" t="str">
        <f>HYPERLINK("obsidian://open?vault=o2&amp;file=2025-03-09.md","2025-03-09")</f>
        <v>2025-03-09</v>
      </c>
      <c r="L663" s="20" t="s">
        <v>175</v>
      </c>
      <c r="M663" s="4"/>
      <c r="N663" s="2" t="s">
        <v>133</v>
      </c>
      <c r="O663" s="2"/>
      <c r="P663" s="4">
        <v>1</v>
      </c>
      <c r="Q663" s="2" t="s">
        <v>2102</v>
      </c>
      <c r="R663" s="11">
        <f>SUBTOTAL(3,_xlfn.SINGLE(tbl_file[RowId]))</f>
        <v>1</v>
      </c>
    </row>
    <row r="664" spans="10:18">
      <c r="J664" s="4">
        <v>1771</v>
      </c>
      <c r="K664" s="21" t="str">
        <f>HYPERLINK("obsidian://open?vault=o2&amp;file=2025-03-10.md","2025-03-10")</f>
        <v>2025-03-10</v>
      </c>
      <c r="L664" s="20" t="s">
        <v>175</v>
      </c>
      <c r="M664" s="4"/>
      <c r="N664" s="2" t="s">
        <v>21</v>
      </c>
      <c r="O664" s="2"/>
      <c r="P664" s="4">
        <v>2</v>
      </c>
      <c r="Q664" s="2" t="s">
        <v>2644</v>
      </c>
      <c r="R664" s="11">
        <f>SUBTOTAL(3,_xlfn.SINGLE(tbl_file[RowId]))</f>
        <v>1</v>
      </c>
    </row>
    <row r="665" spans="10:18">
      <c r="J665" s="4">
        <v>1772</v>
      </c>
      <c r="K665" s="21" t="str">
        <f>HYPERLINK("obsidian://open?vault=o2&amp;file=2025-03-10.md","2025-03-10")</f>
        <v>2025-03-10</v>
      </c>
      <c r="L665" s="20" t="s">
        <v>175</v>
      </c>
      <c r="M665" s="4"/>
      <c r="N665" s="2" t="s">
        <v>35</v>
      </c>
      <c r="O665" s="2"/>
      <c r="P665" s="4">
        <v>1</v>
      </c>
      <c r="Q665" s="2" t="s">
        <v>3057</v>
      </c>
      <c r="R665" s="11">
        <f>SUBTOTAL(3,_xlfn.SINGLE(tbl_file[RowId]))</f>
        <v>1</v>
      </c>
    </row>
    <row r="666" spans="10:18">
      <c r="J666" s="4">
        <v>1773</v>
      </c>
      <c r="K666" s="21" t="str">
        <f>HYPERLINK("obsidian://open?vault=o2&amp;file=2025-03-10.md","2025-03-10")</f>
        <v>2025-03-10</v>
      </c>
      <c r="L666" s="20" t="s">
        <v>175</v>
      </c>
      <c r="M666" s="4"/>
      <c r="N666" s="2" t="s">
        <v>2606</v>
      </c>
      <c r="O666" s="2"/>
      <c r="P666" s="4">
        <v>2</v>
      </c>
      <c r="Q666" s="2" t="s">
        <v>2705</v>
      </c>
      <c r="R666" s="11">
        <f>SUBTOTAL(3,_xlfn.SINGLE(tbl_file[RowId]))</f>
        <v>1</v>
      </c>
    </row>
    <row r="667" spans="10:18">
      <c r="J667" s="4">
        <v>1774</v>
      </c>
      <c r="K667" s="21" t="str">
        <f>HYPERLINK("obsidian://open?vault=o2&amp;file=2025-03-10.md","2025-03-10")</f>
        <v>2025-03-10</v>
      </c>
      <c r="L667" s="20" t="s">
        <v>175</v>
      </c>
      <c r="M667" s="4"/>
      <c r="N667" s="2" t="s">
        <v>133</v>
      </c>
      <c r="O667" s="2"/>
      <c r="P667" s="4">
        <v>1</v>
      </c>
      <c r="Q667" s="2" t="s">
        <v>2102</v>
      </c>
      <c r="R667" s="11">
        <f>SUBTOTAL(3,_xlfn.SINGLE(tbl_file[RowId]))</f>
        <v>1</v>
      </c>
    </row>
    <row r="668" spans="10:18">
      <c r="J668" s="4">
        <v>1775</v>
      </c>
      <c r="K668" s="21" t="str">
        <f>HYPERLINK("obsidian://open?vault=o2&amp;file=2025-03-11.md","2025-03-11")</f>
        <v>2025-03-11</v>
      </c>
      <c r="L668" s="20" t="s">
        <v>175</v>
      </c>
      <c r="M668" s="4"/>
      <c r="N668" s="2" t="s">
        <v>21</v>
      </c>
      <c r="O668" s="2"/>
      <c r="P668" s="4">
        <v>2</v>
      </c>
      <c r="Q668" s="2" t="s">
        <v>2644</v>
      </c>
      <c r="R668" s="11">
        <f>SUBTOTAL(3,_xlfn.SINGLE(tbl_file[RowId]))</f>
        <v>1</v>
      </c>
    </row>
    <row r="669" spans="10:18">
      <c r="J669" s="4">
        <v>1776</v>
      </c>
      <c r="K669" s="21" t="str">
        <f>HYPERLINK("obsidian://open?vault=o2&amp;file=2025-03-11.md","2025-03-11")</f>
        <v>2025-03-11</v>
      </c>
      <c r="L669" s="20" t="s">
        <v>175</v>
      </c>
      <c r="M669" s="4"/>
      <c r="N669" s="2" t="s">
        <v>35</v>
      </c>
      <c r="O669" s="2"/>
      <c r="P669" s="4">
        <v>1</v>
      </c>
      <c r="Q669" s="2" t="s">
        <v>3058</v>
      </c>
      <c r="R669" s="11">
        <f>SUBTOTAL(3,_xlfn.SINGLE(tbl_file[RowId]))</f>
        <v>1</v>
      </c>
    </row>
    <row r="670" spans="10:18">
      <c r="J670" s="4">
        <v>1777</v>
      </c>
      <c r="K670" s="21" t="str">
        <f>HYPERLINK("obsidian://open?vault=o2&amp;file=2025-03-11.md","2025-03-11")</f>
        <v>2025-03-11</v>
      </c>
      <c r="L670" s="20" t="s">
        <v>175</v>
      </c>
      <c r="M670" s="4"/>
      <c r="N670" s="2" t="s">
        <v>2606</v>
      </c>
      <c r="O670" s="2"/>
      <c r="P670" s="4">
        <v>2</v>
      </c>
      <c r="Q670" s="2" t="s">
        <v>2705</v>
      </c>
      <c r="R670" s="11">
        <f>SUBTOTAL(3,_xlfn.SINGLE(tbl_file[RowId]))</f>
        <v>1</v>
      </c>
    </row>
    <row r="671" spans="10:18">
      <c r="J671" s="4">
        <v>1778</v>
      </c>
      <c r="K671" s="21" t="str">
        <f>HYPERLINK("obsidian://open?vault=o2&amp;file=2025-03-11.md","2025-03-11")</f>
        <v>2025-03-11</v>
      </c>
      <c r="L671" s="20" t="s">
        <v>175</v>
      </c>
      <c r="M671" s="4"/>
      <c r="N671" s="2" t="s">
        <v>133</v>
      </c>
      <c r="O671" s="2"/>
      <c r="P671" s="4">
        <v>1</v>
      </c>
      <c r="Q671" s="2" t="s">
        <v>2102</v>
      </c>
      <c r="R671" s="11">
        <f>SUBTOTAL(3,_xlfn.SINGLE(tbl_file[RowId]))</f>
        <v>1</v>
      </c>
    </row>
    <row r="672" spans="10:18">
      <c r="J672" s="4">
        <v>1779</v>
      </c>
      <c r="K672" s="21" t="str">
        <f>HYPERLINK("obsidian://open?vault=o2&amp;file=2025-03-12.md","2025-03-12")</f>
        <v>2025-03-12</v>
      </c>
      <c r="L672" s="20" t="s">
        <v>175</v>
      </c>
      <c r="M672" s="4"/>
      <c r="N672" s="2" t="s">
        <v>21</v>
      </c>
      <c r="O672" s="2"/>
      <c r="P672" s="4">
        <v>2</v>
      </c>
      <c r="Q672" s="2" t="s">
        <v>2644</v>
      </c>
      <c r="R672" s="11">
        <f>SUBTOTAL(3,_xlfn.SINGLE(tbl_file[RowId]))</f>
        <v>1</v>
      </c>
    </row>
    <row r="673" spans="10:18">
      <c r="J673" s="4">
        <v>1780</v>
      </c>
      <c r="K673" s="21" t="str">
        <f>HYPERLINK("obsidian://open?vault=o2&amp;file=2025-03-12.md","2025-03-12")</f>
        <v>2025-03-12</v>
      </c>
      <c r="L673" s="20" t="s">
        <v>175</v>
      </c>
      <c r="M673" s="4"/>
      <c r="N673" s="2" t="s">
        <v>35</v>
      </c>
      <c r="O673" s="2"/>
      <c r="P673" s="4">
        <v>1</v>
      </c>
      <c r="Q673" s="2" t="s">
        <v>3059</v>
      </c>
      <c r="R673" s="11">
        <f>SUBTOTAL(3,_xlfn.SINGLE(tbl_file[RowId]))</f>
        <v>1</v>
      </c>
    </row>
    <row r="674" spans="10:18">
      <c r="J674" s="4">
        <v>1781</v>
      </c>
      <c r="K674" s="21" t="str">
        <f>HYPERLINK("obsidian://open?vault=o2&amp;file=2025-03-12.md","2025-03-12")</f>
        <v>2025-03-12</v>
      </c>
      <c r="L674" s="20" t="s">
        <v>175</v>
      </c>
      <c r="M674" s="4"/>
      <c r="N674" s="2" t="s">
        <v>2606</v>
      </c>
      <c r="O674" s="2"/>
      <c r="P674" s="4">
        <v>2</v>
      </c>
      <c r="Q674" s="2" t="s">
        <v>2705</v>
      </c>
      <c r="R674" s="11">
        <f>SUBTOTAL(3,_xlfn.SINGLE(tbl_file[RowId]))</f>
        <v>1</v>
      </c>
    </row>
    <row r="675" spans="10:18">
      <c r="J675" s="4">
        <v>1782</v>
      </c>
      <c r="K675" s="21" t="str">
        <f>HYPERLINK("obsidian://open?vault=o2&amp;file=2025-03-12.md","2025-03-12")</f>
        <v>2025-03-12</v>
      </c>
      <c r="L675" s="20" t="s">
        <v>175</v>
      </c>
      <c r="M675" s="4"/>
      <c r="N675" s="2" t="s">
        <v>133</v>
      </c>
      <c r="O675" s="2"/>
      <c r="P675" s="4">
        <v>1</v>
      </c>
      <c r="Q675" s="2" t="s">
        <v>2102</v>
      </c>
      <c r="R675" s="11">
        <f>SUBTOTAL(3,_xlfn.SINGLE(tbl_file[RowId]))</f>
        <v>1</v>
      </c>
    </row>
    <row r="676" spans="10:18">
      <c r="J676" s="4">
        <v>1783</v>
      </c>
      <c r="K676" s="21" t="str">
        <f>HYPERLINK("obsidian://open?vault=o2&amp;file=2025-03-13.md","2025-03-13")</f>
        <v>2025-03-13</v>
      </c>
      <c r="L676" s="20" t="s">
        <v>175</v>
      </c>
      <c r="M676" s="4"/>
      <c r="N676" s="2" t="s">
        <v>21</v>
      </c>
      <c r="O676" s="2"/>
      <c r="P676" s="4">
        <v>2</v>
      </c>
      <c r="Q676" s="2" t="s">
        <v>2644</v>
      </c>
      <c r="R676" s="11">
        <f>SUBTOTAL(3,_xlfn.SINGLE(tbl_file[RowId]))</f>
        <v>1</v>
      </c>
    </row>
    <row r="677" spans="10:18">
      <c r="J677" s="4">
        <v>1784</v>
      </c>
      <c r="K677" s="21" t="str">
        <f>HYPERLINK("obsidian://open?vault=o2&amp;file=2025-03-13.md","2025-03-13")</f>
        <v>2025-03-13</v>
      </c>
      <c r="L677" s="20" t="s">
        <v>175</v>
      </c>
      <c r="M677" s="4"/>
      <c r="N677" s="2" t="s">
        <v>35</v>
      </c>
      <c r="O677" s="2"/>
      <c r="P677" s="4">
        <v>1</v>
      </c>
      <c r="Q677" s="2" t="s">
        <v>3060</v>
      </c>
      <c r="R677" s="11">
        <f>SUBTOTAL(3,_xlfn.SINGLE(tbl_file[RowId]))</f>
        <v>1</v>
      </c>
    </row>
    <row r="678" spans="10:18">
      <c r="J678" s="4">
        <v>1785</v>
      </c>
      <c r="K678" s="21" t="str">
        <f>HYPERLINK("obsidian://open?vault=o2&amp;file=2025-03-13.md","2025-03-13")</f>
        <v>2025-03-13</v>
      </c>
      <c r="L678" s="20" t="s">
        <v>175</v>
      </c>
      <c r="M678" s="4"/>
      <c r="N678" s="2" t="s">
        <v>2606</v>
      </c>
      <c r="O678" s="2"/>
      <c r="P678" s="4">
        <v>2</v>
      </c>
      <c r="Q678" s="2" t="s">
        <v>2705</v>
      </c>
      <c r="R678" s="11">
        <f>SUBTOTAL(3,_xlfn.SINGLE(tbl_file[RowId]))</f>
        <v>1</v>
      </c>
    </row>
    <row r="679" spans="10:18">
      <c r="J679" s="4">
        <v>1786</v>
      </c>
      <c r="K679" s="21" t="str">
        <f>HYPERLINK("obsidian://open?vault=o2&amp;file=2025-03-13.md","2025-03-13")</f>
        <v>2025-03-13</v>
      </c>
      <c r="L679" s="20" t="s">
        <v>175</v>
      </c>
      <c r="M679" s="4"/>
      <c r="N679" s="2" t="s">
        <v>133</v>
      </c>
      <c r="O679" s="2"/>
      <c r="P679" s="4">
        <v>1</v>
      </c>
      <c r="Q679" s="2" t="s">
        <v>2102</v>
      </c>
      <c r="R679" s="11">
        <f>SUBTOTAL(3,_xlfn.SINGLE(tbl_file[RowId]))</f>
        <v>1</v>
      </c>
    </row>
    <row r="680" spans="10:18">
      <c r="J680" s="4">
        <v>1787</v>
      </c>
      <c r="K680" s="21" t="str">
        <f t="shared" ref="K680:K688" si="7">HYPERLINK("obsidian://open?vault=o2&amp;file=2025-03-14.md","2025-03-14")</f>
        <v>2025-03-14</v>
      </c>
      <c r="L680" s="20" t="s">
        <v>175</v>
      </c>
      <c r="M680" s="4"/>
      <c r="N680" s="2" t="s">
        <v>21</v>
      </c>
      <c r="O680" s="2"/>
      <c r="P680" s="4">
        <v>2</v>
      </c>
      <c r="Q680" s="2" t="s">
        <v>2644</v>
      </c>
      <c r="R680" s="11">
        <f>SUBTOTAL(3,_xlfn.SINGLE(tbl_file[RowId]))</f>
        <v>1</v>
      </c>
    </row>
    <row r="681" spans="10:18">
      <c r="J681" s="4">
        <v>1788</v>
      </c>
      <c r="K681" s="21" t="str">
        <f t="shared" si="7"/>
        <v>2025-03-14</v>
      </c>
      <c r="L681" s="20" t="s">
        <v>175</v>
      </c>
      <c r="M681" s="4"/>
      <c r="N681" s="2" t="s">
        <v>35</v>
      </c>
      <c r="O681" s="2"/>
      <c r="P681" s="4">
        <v>1</v>
      </c>
      <c r="Q681" s="2" t="s">
        <v>3061</v>
      </c>
      <c r="R681" s="11">
        <f>SUBTOTAL(3,_xlfn.SINGLE(tbl_file[RowId]))</f>
        <v>1</v>
      </c>
    </row>
    <row r="682" spans="10:18">
      <c r="J682" s="4">
        <v>1789</v>
      </c>
      <c r="K682" s="21" t="str">
        <f t="shared" si="7"/>
        <v>2025-03-14</v>
      </c>
      <c r="L682" s="20" t="s">
        <v>175</v>
      </c>
      <c r="M682" s="4"/>
      <c r="N682" s="2" t="s">
        <v>2606</v>
      </c>
      <c r="O682" s="2"/>
      <c r="P682" s="4">
        <v>2</v>
      </c>
      <c r="Q682" s="2" t="s">
        <v>2705</v>
      </c>
      <c r="R682" s="11">
        <f>SUBTOTAL(3,_xlfn.SINGLE(tbl_file[RowId]))</f>
        <v>1</v>
      </c>
    </row>
    <row r="683" spans="10:18">
      <c r="J683" s="4">
        <v>1790</v>
      </c>
      <c r="K683" s="21" t="str">
        <f t="shared" si="7"/>
        <v>2025-03-14</v>
      </c>
      <c r="L683" s="20" t="s">
        <v>175</v>
      </c>
      <c r="M683" s="4"/>
      <c r="N683" s="2" t="s">
        <v>133</v>
      </c>
      <c r="O683" s="2"/>
      <c r="P683" s="4">
        <v>1</v>
      </c>
      <c r="Q683" s="2" t="s">
        <v>2102</v>
      </c>
      <c r="R683" s="11">
        <f>SUBTOTAL(3,_xlfn.SINGLE(tbl_file[RowId]))</f>
        <v>1</v>
      </c>
    </row>
    <row r="684" spans="10:18">
      <c r="J684" s="4">
        <v>2412</v>
      </c>
      <c r="K684" s="21" t="str">
        <f t="shared" si="7"/>
        <v>2025-03-14</v>
      </c>
      <c r="L684" s="20" t="s">
        <v>175</v>
      </c>
      <c r="M684" s="4"/>
      <c r="N684" s="2" t="s">
        <v>14</v>
      </c>
      <c r="O684" s="2"/>
      <c r="P684" s="4">
        <v>1</v>
      </c>
      <c r="Q684" s="2" t="s">
        <v>342</v>
      </c>
      <c r="R684" s="11">
        <f>SUBTOTAL(3,_xlfn.SINGLE(tbl_file[RowId]))</f>
        <v>1</v>
      </c>
    </row>
    <row r="685" spans="10:18">
      <c r="J685" s="4">
        <v>2413</v>
      </c>
      <c r="K685" s="21" t="str">
        <f t="shared" si="7"/>
        <v>2025-03-14</v>
      </c>
      <c r="L685" s="20" t="s">
        <v>175</v>
      </c>
      <c r="M685" s="4"/>
      <c r="N685" s="2" t="s">
        <v>21</v>
      </c>
      <c r="O685" s="2"/>
      <c r="P685" s="4">
        <v>1</v>
      </c>
      <c r="Q685" s="2" t="s">
        <v>424</v>
      </c>
      <c r="R685" s="11">
        <f>SUBTOTAL(3,_xlfn.SINGLE(tbl_file[RowId]))</f>
        <v>1</v>
      </c>
    </row>
    <row r="686" spans="10:18">
      <c r="J686" s="4">
        <v>2414</v>
      </c>
      <c r="K686" s="21" t="str">
        <f t="shared" si="7"/>
        <v>2025-03-14</v>
      </c>
      <c r="L686" s="20" t="s">
        <v>175</v>
      </c>
      <c r="M686" s="4"/>
      <c r="N686" s="2" t="s">
        <v>35</v>
      </c>
      <c r="O686" s="2" t="s">
        <v>2704</v>
      </c>
      <c r="P686" s="4">
        <v>1</v>
      </c>
      <c r="Q686" s="2" t="s">
        <v>3061</v>
      </c>
      <c r="R686" s="11">
        <f>SUBTOTAL(3,_xlfn.SINGLE(tbl_file[RowId]))</f>
        <v>1</v>
      </c>
    </row>
    <row r="687" spans="10:18">
      <c r="J687" s="4">
        <v>2415</v>
      </c>
      <c r="K687" s="21" t="str">
        <f t="shared" si="7"/>
        <v>2025-03-14</v>
      </c>
      <c r="L687" s="20" t="s">
        <v>175</v>
      </c>
      <c r="M687" s="4"/>
      <c r="N687" s="2" t="s">
        <v>2606</v>
      </c>
      <c r="O687" s="2"/>
      <c r="P687" s="4">
        <v>2</v>
      </c>
      <c r="Q687" s="2" t="s">
        <v>2705</v>
      </c>
      <c r="R687" s="11">
        <f>SUBTOTAL(3,_xlfn.SINGLE(tbl_file[RowId]))</f>
        <v>1</v>
      </c>
    </row>
    <row r="688" spans="10:18">
      <c r="J688" s="4">
        <v>2416</v>
      </c>
      <c r="K688" s="21" t="str">
        <f t="shared" si="7"/>
        <v>2025-03-14</v>
      </c>
      <c r="L688" s="20" t="s">
        <v>175</v>
      </c>
      <c r="M688" s="4"/>
      <c r="N688" s="14" t="s">
        <v>134</v>
      </c>
      <c r="O688" s="14" t="s">
        <v>3177</v>
      </c>
      <c r="P688" s="4">
        <v>1</v>
      </c>
      <c r="Q688" s="2" t="s">
        <v>2102</v>
      </c>
      <c r="R688" s="11">
        <f>SUBTOTAL(3,_xlfn.SINGLE(tbl_file[RowId]))</f>
        <v>1</v>
      </c>
    </row>
    <row r="689" spans="10:18">
      <c r="J689" s="4">
        <v>1791</v>
      </c>
      <c r="K689" s="21" t="str">
        <f>HYPERLINK("obsidian://open?vault=o2&amp;file=2025-03-15.md","2025-03-15")</f>
        <v>2025-03-15</v>
      </c>
      <c r="L689" s="20" t="s">
        <v>175</v>
      </c>
      <c r="M689" s="4"/>
      <c r="N689" s="2" t="s">
        <v>21</v>
      </c>
      <c r="O689" s="2"/>
      <c r="P689" s="4">
        <v>2</v>
      </c>
      <c r="Q689" s="2" t="s">
        <v>2644</v>
      </c>
      <c r="R689" s="11">
        <f>SUBTOTAL(3,_xlfn.SINGLE(tbl_file[RowId]))</f>
        <v>1</v>
      </c>
    </row>
    <row r="690" spans="10:18">
      <c r="J690" s="4">
        <v>1792</v>
      </c>
      <c r="K690" s="21" t="str">
        <f>HYPERLINK("obsidian://open?vault=o2&amp;file=2025-03-15.md","2025-03-15")</f>
        <v>2025-03-15</v>
      </c>
      <c r="L690" s="20" t="s">
        <v>175</v>
      </c>
      <c r="M690" s="4"/>
      <c r="N690" s="2" t="s">
        <v>35</v>
      </c>
      <c r="O690" s="2" t="s">
        <v>2704</v>
      </c>
      <c r="P690" s="4">
        <v>1</v>
      </c>
      <c r="Q690" s="2" t="s">
        <v>3062</v>
      </c>
      <c r="R690" s="11">
        <f>SUBTOTAL(3,_xlfn.SINGLE(tbl_file[RowId]))</f>
        <v>1</v>
      </c>
    </row>
    <row r="691" spans="10:18">
      <c r="J691" s="4">
        <v>1793</v>
      </c>
      <c r="K691" s="21" t="str">
        <f>HYPERLINK("obsidian://open?vault=o2&amp;file=2025-03-15.md","2025-03-15")</f>
        <v>2025-03-15</v>
      </c>
      <c r="L691" s="20" t="s">
        <v>175</v>
      </c>
      <c r="M691" s="4"/>
      <c r="N691" s="2" t="s">
        <v>2606</v>
      </c>
      <c r="O691" s="2"/>
      <c r="P691" s="4">
        <v>2</v>
      </c>
      <c r="Q691" s="2" t="s">
        <v>2705</v>
      </c>
      <c r="R691" s="11">
        <f>SUBTOTAL(3,_xlfn.SINGLE(tbl_file[RowId]))</f>
        <v>1</v>
      </c>
    </row>
    <row r="692" spans="10:18">
      <c r="J692" s="4">
        <v>1794</v>
      </c>
      <c r="K692" s="21" t="str">
        <f>HYPERLINK("obsidian://open?vault=o2&amp;file=2025-03-15.md","2025-03-15")</f>
        <v>2025-03-15</v>
      </c>
      <c r="L692" s="20" t="s">
        <v>175</v>
      </c>
      <c r="M692" s="4"/>
      <c r="N692" s="2" t="s">
        <v>133</v>
      </c>
      <c r="O692" s="2" t="s">
        <v>2637</v>
      </c>
      <c r="P692" s="4">
        <v>1</v>
      </c>
      <c r="Q692" s="2" t="s">
        <v>2102</v>
      </c>
      <c r="R692" s="11">
        <f>SUBTOTAL(3,_xlfn.SINGLE(tbl_file[RowId]))</f>
        <v>1</v>
      </c>
    </row>
    <row r="693" spans="10:18">
      <c r="J693" s="4">
        <v>1795</v>
      </c>
      <c r="K693" s="21" t="str">
        <f>HYPERLINK("obsidian://open?vault=o2&amp;file=2025-03-17.md","2025-03-17")</f>
        <v>2025-03-17</v>
      </c>
      <c r="L693" s="20" t="s">
        <v>175</v>
      </c>
      <c r="M693" s="4"/>
      <c r="N693" s="2" t="s">
        <v>21</v>
      </c>
      <c r="O693" s="2"/>
      <c r="P693" s="4">
        <v>2</v>
      </c>
      <c r="Q693" s="2" t="s">
        <v>2644</v>
      </c>
      <c r="R693" s="11">
        <f>SUBTOTAL(3,_xlfn.SINGLE(tbl_file[RowId]))</f>
        <v>1</v>
      </c>
    </row>
    <row r="694" spans="10:18">
      <c r="J694" s="4">
        <v>1796</v>
      </c>
      <c r="K694" s="21" t="str">
        <f>HYPERLINK("obsidian://open?vault=o2&amp;file=2025-03-17.md","2025-03-17")</f>
        <v>2025-03-17</v>
      </c>
      <c r="L694" s="20" t="s">
        <v>175</v>
      </c>
      <c r="M694" s="4"/>
      <c r="N694" s="2" t="s">
        <v>35</v>
      </c>
      <c r="O694" s="2" t="s">
        <v>2704</v>
      </c>
      <c r="P694" s="4">
        <v>1</v>
      </c>
      <c r="Q694" s="2" t="s">
        <v>3063</v>
      </c>
      <c r="R694" s="11">
        <f>SUBTOTAL(3,_xlfn.SINGLE(tbl_file[RowId]))</f>
        <v>1</v>
      </c>
    </row>
    <row r="695" spans="10:18">
      <c r="J695" s="4">
        <v>1797</v>
      </c>
      <c r="K695" s="21" t="str">
        <f>HYPERLINK("obsidian://open?vault=o2&amp;file=2025-03-17.md","2025-03-17")</f>
        <v>2025-03-17</v>
      </c>
      <c r="L695" s="20" t="s">
        <v>175</v>
      </c>
      <c r="M695" s="4"/>
      <c r="N695" s="2" t="s">
        <v>2606</v>
      </c>
      <c r="O695" s="2"/>
      <c r="P695" s="4">
        <v>2</v>
      </c>
      <c r="Q695" s="2" t="s">
        <v>2705</v>
      </c>
      <c r="R695" s="11">
        <f>SUBTOTAL(3,_xlfn.SINGLE(tbl_file[RowId]))</f>
        <v>1</v>
      </c>
    </row>
    <row r="696" spans="10:18">
      <c r="J696" s="4">
        <v>1798</v>
      </c>
      <c r="K696" s="21" t="str">
        <f>HYPERLINK("obsidian://open?vault=o2&amp;file=2025-03-17.md","2025-03-17")</f>
        <v>2025-03-17</v>
      </c>
      <c r="L696" s="20" t="s">
        <v>175</v>
      </c>
      <c r="M696" s="4"/>
      <c r="N696" s="2" t="s">
        <v>133</v>
      </c>
      <c r="O696" s="2" t="s">
        <v>2637</v>
      </c>
      <c r="P696" s="4">
        <v>1</v>
      </c>
      <c r="Q696" s="2" t="s">
        <v>2102</v>
      </c>
      <c r="R696" s="11">
        <f>SUBTOTAL(3,_xlfn.SINGLE(tbl_file[RowId]))</f>
        <v>1</v>
      </c>
    </row>
    <row r="697" spans="10:18">
      <c r="J697" s="4">
        <v>1799</v>
      </c>
      <c r="K697" s="21" t="str">
        <f>HYPERLINK("obsidian://open?vault=o2&amp;file=2025-03-19.md","2025-03-19")</f>
        <v>2025-03-19</v>
      </c>
      <c r="L697" s="20" t="s">
        <v>175</v>
      </c>
      <c r="M697" s="4"/>
      <c r="N697" s="2" t="s">
        <v>21</v>
      </c>
      <c r="O697" s="2"/>
      <c r="P697" s="4">
        <v>2</v>
      </c>
      <c r="Q697" s="2" t="s">
        <v>2644</v>
      </c>
      <c r="R697" s="11">
        <f>SUBTOTAL(3,_xlfn.SINGLE(tbl_file[RowId]))</f>
        <v>1</v>
      </c>
    </row>
    <row r="698" spans="10:18">
      <c r="J698" s="4">
        <v>1800</v>
      </c>
      <c r="K698" s="21" t="str">
        <f>HYPERLINK("obsidian://open?vault=o2&amp;file=2025-03-19.md","2025-03-19")</f>
        <v>2025-03-19</v>
      </c>
      <c r="L698" s="20" t="s">
        <v>175</v>
      </c>
      <c r="M698" s="4"/>
      <c r="N698" s="2" t="s">
        <v>35</v>
      </c>
      <c r="O698" s="2" t="s">
        <v>2704</v>
      </c>
      <c r="P698" s="4">
        <v>1</v>
      </c>
      <c r="Q698" s="2" t="s">
        <v>3064</v>
      </c>
      <c r="R698" s="11">
        <f>SUBTOTAL(3,_xlfn.SINGLE(tbl_file[RowId]))</f>
        <v>1</v>
      </c>
    </row>
    <row r="699" spans="10:18">
      <c r="J699" s="4">
        <v>1801</v>
      </c>
      <c r="K699" s="21" t="str">
        <f>HYPERLINK("obsidian://open?vault=o2&amp;file=2025-03-19.md","2025-03-19")</f>
        <v>2025-03-19</v>
      </c>
      <c r="L699" s="20" t="s">
        <v>175</v>
      </c>
      <c r="M699" s="4"/>
      <c r="N699" s="2" t="s">
        <v>2606</v>
      </c>
      <c r="O699" s="2"/>
      <c r="P699" s="4">
        <v>2</v>
      </c>
      <c r="Q699" s="2" t="s">
        <v>2705</v>
      </c>
      <c r="R699" s="11">
        <f>SUBTOTAL(3,_xlfn.SINGLE(tbl_file[RowId]))</f>
        <v>1</v>
      </c>
    </row>
    <row r="700" spans="10:18">
      <c r="J700" s="4">
        <v>1802</v>
      </c>
      <c r="K700" s="21" t="str">
        <f>HYPERLINK("obsidian://open?vault=o2&amp;file=2025-03-19.md","2025-03-19")</f>
        <v>2025-03-19</v>
      </c>
      <c r="L700" s="20" t="s">
        <v>175</v>
      </c>
      <c r="M700" s="4"/>
      <c r="N700" s="2" t="s">
        <v>133</v>
      </c>
      <c r="O700" s="2" t="s">
        <v>2637</v>
      </c>
      <c r="P700" s="4">
        <v>1</v>
      </c>
      <c r="Q700" s="2" t="s">
        <v>2102</v>
      </c>
      <c r="R700" s="11">
        <f>SUBTOTAL(3,_xlfn.SINGLE(tbl_file[RowId]))</f>
        <v>1</v>
      </c>
    </row>
    <row r="701" spans="10:18">
      <c r="J701" s="4">
        <v>1803</v>
      </c>
      <c r="K701" s="21" t="str">
        <f>HYPERLINK("obsidian://open?vault=o2&amp;file=2025-03-20.md","2025-03-20")</f>
        <v>2025-03-20</v>
      </c>
      <c r="L701" s="20" t="s">
        <v>175</v>
      </c>
      <c r="M701" s="4"/>
      <c r="N701" s="2" t="s">
        <v>21</v>
      </c>
      <c r="O701" s="2"/>
      <c r="P701" s="4">
        <v>2</v>
      </c>
      <c r="Q701" s="2" t="s">
        <v>2644</v>
      </c>
      <c r="R701" s="11">
        <f>SUBTOTAL(3,_xlfn.SINGLE(tbl_file[RowId]))</f>
        <v>1</v>
      </c>
    </row>
    <row r="702" spans="10:18">
      <c r="J702" s="4">
        <v>1804</v>
      </c>
      <c r="K702" s="21" t="str">
        <f>HYPERLINK("obsidian://open?vault=o2&amp;file=2025-03-20.md","2025-03-20")</f>
        <v>2025-03-20</v>
      </c>
      <c r="L702" s="20" t="s">
        <v>175</v>
      </c>
      <c r="M702" s="4"/>
      <c r="N702" s="2" t="s">
        <v>35</v>
      </c>
      <c r="O702" s="2" t="s">
        <v>2704</v>
      </c>
      <c r="P702" s="4">
        <v>1</v>
      </c>
      <c r="Q702" s="2" t="s">
        <v>3065</v>
      </c>
      <c r="R702" s="11">
        <f>SUBTOTAL(3,_xlfn.SINGLE(tbl_file[RowId]))</f>
        <v>1</v>
      </c>
    </row>
    <row r="703" spans="10:18">
      <c r="J703" s="4">
        <v>1805</v>
      </c>
      <c r="K703" s="21" t="str">
        <f>HYPERLINK("obsidian://open?vault=o2&amp;file=2025-03-20.md","2025-03-20")</f>
        <v>2025-03-20</v>
      </c>
      <c r="L703" s="20" t="s">
        <v>175</v>
      </c>
      <c r="M703" s="4"/>
      <c r="N703" s="2" t="s">
        <v>2606</v>
      </c>
      <c r="O703" s="2"/>
      <c r="P703" s="4">
        <v>2</v>
      </c>
      <c r="Q703" s="2" t="s">
        <v>2705</v>
      </c>
      <c r="R703" s="11">
        <f>SUBTOTAL(3,_xlfn.SINGLE(tbl_file[RowId]))</f>
        <v>1</v>
      </c>
    </row>
    <row r="704" spans="10:18">
      <c r="J704" s="4">
        <v>1806</v>
      </c>
      <c r="K704" s="21" t="str">
        <f>HYPERLINK("obsidian://open?vault=o2&amp;file=2025-03-20.md","2025-03-20")</f>
        <v>2025-03-20</v>
      </c>
      <c r="L704" s="20" t="s">
        <v>175</v>
      </c>
      <c r="M704" s="4"/>
      <c r="N704" s="2" t="s">
        <v>133</v>
      </c>
      <c r="O704" s="2" t="s">
        <v>2637</v>
      </c>
      <c r="P704" s="4">
        <v>1</v>
      </c>
      <c r="Q704" s="2" t="s">
        <v>2102</v>
      </c>
      <c r="R704" s="11">
        <f>SUBTOTAL(3,_xlfn.SINGLE(tbl_file[RowId]))</f>
        <v>1</v>
      </c>
    </row>
    <row r="705" spans="10:18">
      <c r="J705" s="4">
        <v>1807</v>
      </c>
      <c r="K705" s="21" t="str">
        <f>HYPERLINK("obsidian://open?vault=o2&amp;file=2025-03-21.md","2025-03-21")</f>
        <v>2025-03-21</v>
      </c>
      <c r="L705" s="20" t="s">
        <v>175</v>
      </c>
      <c r="M705" s="4"/>
      <c r="N705" s="2" t="s">
        <v>21</v>
      </c>
      <c r="O705" s="2"/>
      <c r="P705" s="4">
        <v>2</v>
      </c>
      <c r="Q705" s="2" t="s">
        <v>2644</v>
      </c>
      <c r="R705" s="11">
        <f>SUBTOTAL(3,_xlfn.SINGLE(tbl_file[RowId]))</f>
        <v>1</v>
      </c>
    </row>
    <row r="706" spans="10:18">
      <c r="J706" s="4">
        <v>1808</v>
      </c>
      <c r="K706" s="21" t="str">
        <f>HYPERLINK("obsidian://open?vault=o2&amp;file=2025-03-21.md","2025-03-21")</f>
        <v>2025-03-21</v>
      </c>
      <c r="L706" s="20" t="s">
        <v>175</v>
      </c>
      <c r="M706" s="4"/>
      <c r="N706" s="2" t="s">
        <v>35</v>
      </c>
      <c r="O706" s="2" t="s">
        <v>2704</v>
      </c>
      <c r="P706" s="4">
        <v>1</v>
      </c>
      <c r="Q706" s="2" t="s">
        <v>3066</v>
      </c>
      <c r="R706" s="11">
        <f>SUBTOTAL(3,_xlfn.SINGLE(tbl_file[RowId]))</f>
        <v>1</v>
      </c>
    </row>
    <row r="707" spans="10:18">
      <c r="J707" s="4">
        <v>1809</v>
      </c>
      <c r="K707" s="21" t="str">
        <f>HYPERLINK("obsidian://open?vault=o2&amp;file=2025-03-21.md","2025-03-21")</f>
        <v>2025-03-21</v>
      </c>
      <c r="L707" s="20" t="s">
        <v>175</v>
      </c>
      <c r="M707" s="4"/>
      <c r="N707" s="2" t="s">
        <v>2606</v>
      </c>
      <c r="O707" s="2"/>
      <c r="P707" s="4">
        <v>2</v>
      </c>
      <c r="Q707" s="2" t="s">
        <v>2705</v>
      </c>
      <c r="R707" s="11">
        <f>SUBTOTAL(3,_xlfn.SINGLE(tbl_file[RowId]))</f>
        <v>1</v>
      </c>
    </row>
    <row r="708" spans="10:18">
      <c r="J708" s="4">
        <v>1810</v>
      </c>
      <c r="K708" s="21" t="str">
        <f>HYPERLINK("obsidian://open?vault=o2&amp;file=2025-03-21.md","2025-03-21")</f>
        <v>2025-03-21</v>
      </c>
      <c r="L708" s="20" t="s">
        <v>175</v>
      </c>
      <c r="M708" s="4"/>
      <c r="N708" s="2" t="s">
        <v>133</v>
      </c>
      <c r="O708" s="2" t="s">
        <v>2637</v>
      </c>
      <c r="P708" s="4">
        <v>1</v>
      </c>
      <c r="Q708" s="2" t="s">
        <v>2102</v>
      </c>
      <c r="R708" s="11">
        <f>SUBTOTAL(3,_xlfn.SINGLE(tbl_file[RowId]))</f>
        <v>1</v>
      </c>
    </row>
    <row r="709" spans="10:18">
      <c r="J709" s="4">
        <v>1811</v>
      </c>
      <c r="K709" s="21" t="str">
        <f>HYPERLINK("obsidian://open?vault=o2&amp;file=2025-03-22.md","2025-03-22")</f>
        <v>2025-03-22</v>
      </c>
      <c r="L709" s="20" t="s">
        <v>175</v>
      </c>
      <c r="M709" s="4"/>
      <c r="N709" s="2" t="s">
        <v>21</v>
      </c>
      <c r="O709" s="2"/>
      <c r="P709" s="4">
        <v>2</v>
      </c>
      <c r="Q709" s="2" t="s">
        <v>2644</v>
      </c>
      <c r="R709" s="11">
        <f>SUBTOTAL(3,_xlfn.SINGLE(tbl_file[RowId]))</f>
        <v>1</v>
      </c>
    </row>
    <row r="710" spans="10:18">
      <c r="J710" s="4">
        <v>1812</v>
      </c>
      <c r="K710" s="21" t="str">
        <f>HYPERLINK("obsidian://open?vault=o2&amp;file=2025-03-22.md","2025-03-22")</f>
        <v>2025-03-22</v>
      </c>
      <c r="L710" s="20" t="s">
        <v>175</v>
      </c>
      <c r="M710" s="4"/>
      <c r="N710" s="2" t="s">
        <v>35</v>
      </c>
      <c r="O710" s="2" t="s">
        <v>2704</v>
      </c>
      <c r="P710" s="4">
        <v>1</v>
      </c>
      <c r="Q710" s="2" t="s">
        <v>3067</v>
      </c>
      <c r="R710" s="11">
        <f>SUBTOTAL(3,_xlfn.SINGLE(tbl_file[RowId]))</f>
        <v>1</v>
      </c>
    </row>
    <row r="711" spans="10:18">
      <c r="J711" s="4">
        <v>1813</v>
      </c>
      <c r="K711" s="21" t="str">
        <f>HYPERLINK("obsidian://open?vault=o2&amp;file=2025-03-22.md","2025-03-22")</f>
        <v>2025-03-22</v>
      </c>
      <c r="L711" s="20" t="s">
        <v>175</v>
      </c>
      <c r="M711" s="4"/>
      <c r="N711" s="2" t="s">
        <v>2606</v>
      </c>
      <c r="O711" s="2"/>
      <c r="P711" s="4">
        <v>2</v>
      </c>
      <c r="Q711" s="2" t="s">
        <v>2705</v>
      </c>
      <c r="R711" s="11">
        <f>SUBTOTAL(3,_xlfn.SINGLE(tbl_file[RowId]))</f>
        <v>1</v>
      </c>
    </row>
    <row r="712" spans="10:18">
      <c r="J712" s="4">
        <v>1814</v>
      </c>
      <c r="K712" s="21" t="str">
        <f>HYPERLINK("obsidian://open?vault=o2&amp;file=2025-03-22.md","2025-03-22")</f>
        <v>2025-03-22</v>
      </c>
      <c r="L712" s="20" t="s">
        <v>175</v>
      </c>
      <c r="M712" s="4"/>
      <c r="N712" s="2" t="s">
        <v>133</v>
      </c>
      <c r="O712" s="2" t="s">
        <v>2637</v>
      </c>
      <c r="P712" s="4">
        <v>1</v>
      </c>
      <c r="Q712" s="2" t="s">
        <v>2102</v>
      </c>
      <c r="R712" s="11">
        <f>SUBTOTAL(3,_xlfn.SINGLE(tbl_file[RowId]))</f>
        <v>1</v>
      </c>
    </row>
    <row r="713" spans="10:18">
      <c r="J713" s="4">
        <v>1815</v>
      </c>
      <c r="K713" s="21" t="str">
        <f>HYPERLINK("obsidian://open?vault=o2&amp;file=2025-03-25.md","2025-03-25")</f>
        <v>2025-03-25</v>
      </c>
      <c r="L713" s="20" t="s">
        <v>175</v>
      </c>
      <c r="M713" s="4"/>
      <c r="N713" s="2" t="s">
        <v>21</v>
      </c>
      <c r="O713" s="2"/>
      <c r="P713" s="4">
        <v>2</v>
      </c>
      <c r="Q713" s="2" t="s">
        <v>2644</v>
      </c>
      <c r="R713" s="11">
        <f>SUBTOTAL(3,_xlfn.SINGLE(tbl_file[RowId]))</f>
        <v>1</v>
      </c>
    </row>
    <row r="714" spans="10:18">
      <c r="J714" s="4">
        <v>1816</v>
      </c>
      <c r="K714" s="21" t="str">
        <f>HYPERLINK("obsidian://open?vault=o2&amp;file=2025-03-25.md","2025-03-25")</f>
        <v>2025-03-25</v>
      </c>
      <c r="L714" s="20" t="s">
        <v>175</v>
      </c>
      <c r="M714" s="4"/>
      <c r="N714" s="2" t="s">
        <v>35</v>
      </c>
      <c r="O714" s="2" t="s">
        <v>2704</v>
      </c>
      <c r="P714" s="4">
        <v>1</v>
      </c>
      <c r="Q714" s="2" t="s">
        <v>3068</v>
      </c>
      <c r="R714" s="11">
        <f>SUBTOTAL(3,_xlfn.SINGLE(tbl_file[RowId]))</f>
        <v>1</v>
      </c>
    </row>
    <row r="715" spans="10:18">
      <c r="J715" s="4">
        <v>1817</v>
      </c>
      <c r="K715" s="21" t="str">
        <f>HYPERLINK("obsidian://open?vault=o2&amp;file=2025-03-25.md","2025-03-25")</f>
        <v>2025-03-25</v>
      </c>
      <c r="L715" s="20" t="s">
        <v>175</v>
      </c>
      <c r="M715" s="4"/>
      <c r="N715" s="2" t="s">
        <v>2606</v>
      </c>
      <c r="O715" s="2"/>
      <c r="P715" s="4">
        <v>2</v>
      </c>
      <c r="Q715" s="2" t="s">
        <v>2705</v>
      </c>
      <c r="R715" s="11">
        <f>SUBTOTAL(3,_xlfn.SINGLE(tbl_file[RowId]))</f>
        <v>1</v>
      </c>
    </row>
    <row r="716" spans="10:18">
      <c r="J716" s="4">
        <v>1818</v>
      </c>
      <c r="K716" s="21" t="str">
        <f>HYPERLINK("obsidian://open?vault=o2&amp;file=2025-03-25.md","2025-03-25")</f>
        <v>2025-03-25</v>
      </c>
      <c r="L716" s="20" t="s">
        <v>175</v>
      </c>
      <c r="M716" s="4"/>
      <c r="N716" s="2" t="s">
        <v>133</v>
      </c>
      <c r="O716" s="2" t="s">
        <v>2637</v>
      </c>
      <c r="P716" s="4">
        <v>1</v>
      </c>
      <c r="Q716" s="2" t="s">
        <v>2102</v>
      </c>
      <c r="R716" s="11">
        <f>SUBTOTAL(3,_xlfn.SINGLE(tbl_file[RowId]))</f>
        <v>1</v>
      </c>
    </row>
    <row r="717" spans="10:18">
      <c r="J717" s="4">
        <v>1819</v>
      </c>
      <c r="K717" s="21" t="str">
        <f>HYPERLINK("obsidian://open?vault=o2&amp;file=2025-03-27.md","2025-03-27")</f>
        <v>2025-03-27</v>
      </c>
      <c r="L717" s="20" t="s">
        <v>175</v>
      </c>
      <c r="M717" s="4"/>
      <c r="N717" s="2" t="s">
        <v>21</v>
      </c>
      <c r="O717" s="2"/>
      <c r="P717" s="4">
        <v>2</v>
      </c>
      <c r="Q717" s="2" t="s">
        <v>2644</v>
      </c>
      <c r="R717" s="11">
        <f>SUBTOTAL(3,_xlfn.SINGLE(tbl_file[RowId]))</f>
        <v>1</v>
      </c>
    </row>
    <row r="718" spans="10:18">
      <c r="J718" s="4">
        <v>1820</v>
      </c>
      <c r="K718" s="21" t="str">
        <f>HYPERLINK("obsidian://open?vault=o2&amp;file=2025-03-27.md","2025-03-27")</f>
        <v>2025-03-27</v>
      </c>
      <c r="L718" s="20" t="s">
        <v>175</v>
      </c>
      <c r="M718" s="4"/>
      <c r="N718" s="2" t="s">
        <v>35</v>
      </c>
      <c r="O718" s="2" t="s">
        <v>2704</v>
      </c>
      <c r="P718" s="4">
        <v>1</v>
      </c>
      <c r="Q718" s="2" t="s">
        <v>3069</v>
      </c>
      <c r="R718" s="11">
        <f>SUBTOTAL(3,_xlfn.SINGLE(tbl_file[RowId]))</f>
        <v>1</v>
      </c>
    </row>
    <row r="719" spans="10:18">
      <c r="J719" s="4">
        <v>1821</v>
      </c>
      <c r="K719" s="21" t="str">
        <f>HYPERLINK("obsidian://open?vault=o2&amp;file=2025-03-27.md","2025-03-27")</f>
        <v>2025-03-27</v>
      </c>
      <c r="L719" s="20" t="s">
        <v>175</v>
      </c>
      <c r="M719" s="4"/>
      <c r="N719" s="2" t="s">
        <v>2606</v>
      </c>
      <c r="O719" s="2"/>
      <c r="P719" s="4">
        <v>2</v>
      </c>
      <c r="Q719" s="2" t="s">
        <v>2705</v>
      </c>
      <c r="R719" s="11">
        <f>SUBTOTAL(3,_xlfn.SINGLE(tbl_file[RowId]))</f>
        <v>1</v>
      </c>
    </row>
    <row r="720" spans="10:18">
      <c r="J720" s="4">
        <v>1822</v>
      </c>
      <c r="K720" s="21" t="str">
        <f>HYPERLINK("obsidian://open?vault=o2&amp;file=2025-03-27.md","2025-03-27")</f>
        <v>2025-03-27</v>
      </c>
      <c r="L720" s="20" t="s">
        <v>175</v>
      </c>
      <c r="M720" s="4"/>
      <c r="N720" s="2" t="s">
        <v>133</v>
      </c>
      <c r="O720" s="2" t="s">
        <v>2637</v>
      </c>
      <c r="P720" s="4">
        <v>1</v>
      </c>
      <c r="Q720" s="2" t="s">
        <v>2102</v>
      </c>
      <c r="R720" s="11">
        <f>SUBTOTAL(3,_xlfn.SINGLE(tbl_file[RowId]))</f>
        <v>1</v>
      </c>
    </row>
    <row r="721" spans="10:18">
      <c r="J721" s="4">
        <v>1823</v>
      </c>
      <c r="K721" s="21" t="str">
        <f>HYPERLINK("obsidian://open?vault=o2&amp;file=2025-03-28.md","2025-03-28")</f>
        <v>2025-03-28</v>
      </c>
      <c r="L721" s="20" t="s">
        <v>175</v>
      </c>
      <c r="M721" s="4"/>
      <c r="N721" s="2" t="s">
        <v>21</v>
      </c>
      <c r="O721" s="2"/>
      <c r="P721" s="4">
        <v>2</v>
      </c>
      <c r="Q721" s="2" t="s">
        <v>2644</v>
      </c>
      <c r="R721" s="11">
        <f>SUBTOTAL(3,_xlfn.SINGLE(tbl_file[RowId]))</f>
        <v>1</v>
      </c>
    </row>
    <row r="722" spans="10:18">
      <c r="J722" s="4">
        <v>1824</v>
      </c>
      <c r="K722" s="21" t="str">
        <f>HYPERLINK("obsidian://open?vault=o2&amp;file=2025-03-28.md","2025-03-28")</f>
        <v>2025-03-28</v>
      </c>
      <c r="L722" s="20" t="s">
        <v>175</v>
      </c>
      <c r="M722" s="4"/>
      <c r="N722" s="2" t="s">
        <v>35</v>
      </c>
      <c r="O722" s="2" t="s">
        <v>2704</v>
      </c>
      <c r="P722" s="4">
        <v>1</v>
      </c>
      <c r="Q722" s="2" t="s">
        <v>3070</v>
      </c>
      <c r="R722" s="11">
        <f>SUBTOTAL(3,_xlfn.SINGLE(tbl_file[RowId]))</f>
        <v>1</v>
      </c>
    </row>
    <row r="723" spans="10:18">
      <c r="J723" s="4">
        <v>1825</v>
      </c>
      <c r="K723" s="21" t="str">
        <f>HYPERLINK("obsidian://open?vault=o2&amp;file=2025-03-28.md","2025-03-28")</f>
        <v>2025-03-28</v>
      </c>
      <c r="L723" s="20" t="s">
        <v>175</v>
      </c>
      <c r="M723" s="4"/>
      <c r="N723" s="2" t="s">
        <v>2606</v>
      </c>
      <c r="O723" s="2"/>
      <c r="P723" s="4">
        <v>2</v>
      </c>
      <c r="Q723" s="2" t="s">
        <v>2705</v>
      </c>
      <c r="R723" s="11">
        <f>SUBTOTAL(3,_xlfn.SINGLE(tbl_file[RowId]))</f>
        <v>1</v>
      </c>
    </row>
    <row r="724" spans="10:18">
      <c r="J724" s="4">
        <v>1826</v>
      </c>
      <c r="K724" s="21" t="str">
        <f>HYPERLINK("obsidian://open?vault=o2&amp;file=2025-03-28.md","2025-03-28")</f>
        <v>2025-03-28</v>
      </c>
      <c r="L724" s="20" t="s">
        <v>175</v>
      </c>
      <c r="M724" s="4"/>
      <c r="N724" s="2" t="s">
        <v>133</v>
      </c>
      <c r="O724" s="2" t="s">
        <v>2637</v>
      </c>
      <c r="P724" s="4">
        <v>1</v>
      </c>
      <c r="Q724" s="2" t="s">
        <v>2102</v>
      </c>
      <c r="R724" s="11">
        <f>SUBTOTAL(3,_xlfn.SINGLE(tbl_file[RowId]))</f>
        <v>1</v>
      </c>
    </row>
    <row r="725" spans="10:18">
      <c r="J725" s="4">
        <v>1827</v>
      </c>
      <c r="K725" s="21" t="str">
        <f>HYPERLINK("obsidian://open?vault=o2&amp;file=2025-03-29.md","2025-03-29")</f>
        <v>2025-03-29</v>
      </c>
      <c r="L725" s="20" t="s">
        <v>175</v>
      </c>
      <c r="M725" s="4"/>
      <c r="N725" s="2" t="s">
        <v>21</v>
      </c>
      <c r="O725" s="2"/>
      <c r="P725" s="4">
        <v>2</v>
      </c>
      <c r="Q725" s="2" t="s">
        <v>2644</v>
      </c>
      <c r="R725" s="11">
        <f>SUBTOTAL(3,_xlfn.SINGLE(tbl_file[RowId]))</f>
        <v>1</v>
      </c>
    </row>
    <row r="726" spans="10:18">
      <c r="J726" s="4">
        <v>1828</v>
      </c>
      <c r="K726" s="21" t="str">
        <f>HYPERLINK("obsidian://open?vault=o2&amp;file=2025-03-29.md","2025-03-29")</f>
        <v>2025-03-29</v>
      </c>
      <c r="L726" s="20" t="s">
        <v>175</v>
      </c>
      <c r="M726" s="4"/>
      <c r="N726" s="2" t="s">
        <v>35</v>
      </c>
      <c r="O726" s="2" t="s">
        <v>2704</v>
      </c>
      <c r="P726" s="4">
        <v>1</v>
      </c>
      <c r="Q726" s="2" t="s">
        <v>3071</v>
      </c>
      <c r="R726" s="11">
        <f>SUBTOTAL(3,_xlfn.SINGLE(tbl_file[RowId]))</f>
        <v>1</v>
      </c>
    </row>
    <row r="727" spans="10:18">
      <c r="J727" s="4">
        <v>1829</v>
      </c>
      <c r="K727" s="21" t="str">
        <f>HYPERLINK("obsidian://open?vault=o2&amp;file=2025-03-29.md","2025-03-29")</f>
        <v>2025-03-29</v>
      </c>
      <c r="L727" s="20" t="s">
        <v>175</v>
      </c>
      <c r="M727" s="4"/>
      <c r="N727" s="2" t="s">
        <v>2606</v>
      </c>
      <c r="O727" s="2"/>
      <c r="P727" s="4">
        <v>2</v>
      </c>
      <c r="Q727" s="2" t="s">
        <v>2705</v>
      </c>
      <c r="R727" s="11">
        <f>SUBTOTAL(3,_xlfn.SINGLE(tbl_file[RowId]))</f>
        <v>1</v>
      </c>
    </row>
    <row r="728" spans="10:18">
      <c r="J728" s="4">
        <v>1830</v>
      </c>
      <c r="K728" s="21" t="str">
        <f>HYPERLINK("obsidian://open?vault=o2&amp;file=2025-03-29.md","2025-03-29")</f>
        <v>2025-03-29</v>
      </c>
      <c r="L728" s="20" t="s">
        <v>175</v>
      </c>
      <c r="M728" s="4"/>
      <c r="N728" s="2" t="s">
        <v>133</v>
      </c>
      <c r="O728" s="2" t="s">
        <v>2637</v>
      </c>
      <c r="P728" s="4">
        <v>1</v>
      </c>
      <c r="Q728" s="2" t="s">
        <v>2102</v>
      </c>
      <c r="R728" s="11">
        <f>SUBTOTAL(3,_xlfn.SINGLE(tbl_file[RowId]))</f>
        <v>1</v>
      </c>
    </row>
    <row r="729" spans="10:18">
      <c r="J729" s="4">
        <v>1831</v>
      </c>
      <c r="K729" s="21" t="str">
        <f>HYPERLINK("obsidian://open?vault=o2&amp;file=2025-03-30.md","2025-03-30")</f>
        <v>2025-03-30</v>
      </c>
      <c r="L729" s="20" t="s">
        <v>175</v>
      </c>
      <c r="M729" s="4"/>
      <c r="N729" s="2" t="s">
        <v>21</v>
      </c>
      <c r="O729" s="2"/>
      <c r="P729" s="4">
        <v>2</v>
      </c>
      <c r="Q729" s="2" t="s">
        <v>2644</v>
      </c>
      <c r="R729" s="11">
        <f>SUBTOTAL(3,_xlfn.SINGLE(tbl_file[RowId]))</f>
        <v>1</v>
      </c>
    </row>
    <row r="730" spans="10:18">
      <c r="J730" s="4">
        <v>1832</v>
      </c>
      <c r="K730" s="21" t="str">
        <f>HYPERLINK("obsidian://open?vault=o2&amp;file=2025-03-30.md","2025-03-30")</f>
        <v>2025-03-30</v>
      </c>
      <c r="L730" s="20" t="s">
        <v>175</v>
      </c>
      <c r="M730" s="4"/>
      <c r="N730" s="2" t="s">
        <v>35</v>
      </c>
      <c r="O730" s="2" t="s">
        <v>2704</v>
      </c>
      <c r="P730" s="4">
        <v>1</v>
      </c>
      <c r="Q730" s="2" t="s">
        <v>3072</v>
      </c>
      <c r="R730" s="11">
        <f>SUBTOTAL(3,_xlfn.SINGLE(tbl_file[RowId]))</f>
        <v>1</v>
      </c>
    </row>
    <row r="731" spans="10:18">
      <c r="J731" s="4">
        <v>1833</v>
      </c>
      <c r="K731" s="21" t="str">
        <f>HYPERLINK("obsidian://open?vault=o2&amp;file=2025-03-30.md","2025-03-30")</f>
        <v>2025-03-30</v>
      </c>
      <c r="L731" s="20" t="s">
        <v>175</v>
      </c>
      <c r="M731" s="4"/>
      <c r="N731" s="2" t="s">
        <v>2606</v>
      </c>
      <c r="O731" s="2"/>
      <c r="P731" s="4">
        <v>2</v>
      </c>
      <c r="Q731" s="2" t="s">
        <v>2705</v>
      </c>
      <c r="R731" s="11">
        <f>SUBTOTAL(3,_xlfn.SINGLE(tbl_file[RowId]))</f>
        <v>1</v>
      </c>
    </row>
    <row r="732" spans="10:18">
      <c r="J732" s="4">
        <v>1834</v>
      </c>
      <c r="K732" s="21" t="str">
        <f>HYPERLINK("obsidian://open?vault=o2&amp;file=2025-03-30.md","2025-03-30")</f>
        <v>2025-03-30</v>
      </c>
      <c r="L732" s="20" t="s">
        <v>175</v>
      </c>
      <c r="M732" s="4"/>
      <c r="N732" s="2" t="s">
        <v>133</v>
      </c>
      <c r="O732" s="2" t="s">
        <v>2637</v>
      </c>
      <c r="P732" s="4">
        <v>1</v>
      </c>
      <c r="Q732" s="2" t="s">
        <v>2102</v>
      </c>
      <c r="R732" s="11">
        <f>SUBTOTAL(3,_xlfn.SINGLE(tbl_file[RowId]))</f>
        <v>1</v>
      </c>
    </row>
    <row r="733" spans="10:18">
      <c r="J733" s="4">
        <v>1835</v>
      </c>
      <c r="K733" s="21" t="str">
        <f>HYPERLINK("obsidian://open?vault=o2&amp;file=2025-03-31.md","2025-03-31")</f>
        <v>2025-03-31</v>
      </c>
      <c r="L733" s="20" t="s">
        <v>175</v>
      </c>
      <c r="M733" s="4"/>
      <c r="N733" s="2" t="s">
        <v>21</v>
      </c>
      <c r="O733" s="2"/>
      <c r="P733" s="4">
        <v>2</v>
      </c>
      <c r="Q733" s="2" t="s">
        <v>2644</v>
      </c>
      <c r="R733" s="11">
        <f>SUBTOTAL(3,_xlfn.SINGLE(tbl_file[RowId]))</f>
        <v>1</v>
      </c>
    </row>
    <row r="734" spans="10:18">
      <c r="J734" s="4">
        <v>1836</v>
      </c>
      <c r="K734" s="21" t="str">
        <f>HYPERLINK("obsidian://open?vault=o2&amp;file=2025-03-31.md","2025-03-31")</f>
        <v>2025-03-31</v>
      </c>
      <c r="L734" s="20" t="s">
        <v>175</v>
      </c>
      <c r="M734" s="4"/>
      <c r="N734" s="2" t="s">
        <v>35</v>
      </c>
      <c r="O734" s="2" t="s">
        <v>2704</v>
      </c>
      <c r="P734" s="4">
        <v>1</v>
      </c>
      <c r="Q734" s="2" t="s">
        <v>3073</v>
      </c>
      <c r="R734" s="11">
        <f>SUBTOTAL(3,_xlfn.SINGLE(tbl_file[RowId]))</f>
        <v>1</v>
      </c>
    </row>
    <row r="735" spans="10:18">
      <c r="J735" s="4">
        <v>1837</v>
      </c>
      <c r="K735" s="21" t="str">
        <f>HYPERLINK("obsidian://open?vault=o2&amp;file=2025-03-31.md","2025-03-31")</f>
        <v>2025-03-31</v>
      </c>
      <c r="L735" s="20" t="s">
        <v>175</v>
      </c>
      <c r="M735" s="4"/>
      <c r="N735" s="2" t="s">
        <v>2606</v>
      </c>
      <c r="O735" s="2"/>
      <c r="P735" s="4">
        <v>2</v>
      </c>
      <c r="Q735" s="2" t="s">
        <v>2705</v>
      </c>
      <c r="R735" s="11">
        <f>SUBTOTAL(3,_xlfn.SINGLE(tbl_file[RowId]))</f>
        <v>1</v>
      </c>
    </row>
    <row r="736" spans="10:18">
      <c r="J736" s="4">
        <v>1838</v>
      </c>
      <c r="K736" s="21" t="str">
        <f>HYPERLINK("obsidian://open?vault=o2&amp;file=2025-03-31.md","2025-03-31")</f>
        <v>2025-03-31</v>
      </c>
      <c r="L736" s="20" t="s">
        <v>175</v>
      </c>
      <c r="M736" s="4"/>
      <c r="N736" s="2" t="s">
        <v>133</v>
      </c>
      <c r="O736" s="2" t="s">
        <v>2637</v>
      </c>
      <c r="P736" s="4">
        <v>1</v>
      </c>
      <c r="Q736" s="2" t="s">
        <v>2102</v>
      </c>
      <c r="R736" s="11">
        <f>SUBTOTAL(3,_xlfn.SINGLE(tbl_file[RowId]))</f>
        <v>1</v>
      </c>
    </row>
    <row r="737" spans="10:18">
      <c r="J737" s="4">
        <v>524</v>
      </c>
      <c r="K737" s="21" t="str">
        <f>HYPERLINK("obsidian://open?vault=o2&amp;file=2025-04-03.md","2025-04-03")</f>
        <v>2025-04-03</v>
      </c>
      <c r="L737" s="20" t="s">
        <v>175</v>
      </c>
      <c r="M737" s="4"/>
      <c r="N737" s="2" t="s">
        <v>21</v>
      </c>
      <c r="O737" s="2"/>
      <c r="P737" s="4">
        <v>2</v>
      </c>
      <c r="Q737" s="2" t="s">
        <v>2644</v>
      </c>
      <c r="R737" s="11">
        <f>SUBTOTAL(3,_xlfn.SINGLE(tbl_file[RowId]))</f>
        <v>1</v>
      </c>
    </row>
    <row r="738" spans="10:18">
      <c r="J738" s="4">
        <v>525</v>
      </c>
      <c r="K738" s="21" t="str">
        <f>HYPERLINK("obsidian://open?vault=o2&amp;file=2025-04-03.md","2025-04-03")</f>
        <v>2025-04-03</v>
      </c>
      <c r="L738" s="20" t="s">
        <v>175</v>
      </c>
      <c r="M738" s="4"/>
      <c r="N738" s="2" t="s">
        <v>35</v>
      </c>
      <c r="O738" s="2" t="s">
        <v>2704</v>
      </c>
      <c r="P738" s="4">
        <v>1</v>
      </c>
      <c r="Q738" s="2" t="s">
        <v>2647</v>
      </c>
      <c r="R738" s="11">
        <f>SUBTOTAL(3,_xlfn.SINGLE(tbl_file[RowId]))</f>
        <v>1</v>
      </c>
    </row>
    <row r="739" spans="10:18">
      <c r="J739" s="4">
        <v>526</v>
      </c>
      <c r="K739" s="21" t="str">
        <f>HYPERLINK("obsidian://open?vault=o2&amp;file=2025-04-03.md","2025-04-03")</f>
        <v>2025-04-03</v>
      </c>
      <c r="L739" s="20" t="s">
        <v>175</v>
      </c>
      <c r="M739" s="4"/>
      <c r="N739" s="2" t="s">
        <v>2606</v>
      </c>
      <c r="O739" s="2"/>
      <c r="P739" s="4">
        <v>2</v>
      </c>
      <c r="Q739" s="2" t="s">
        <v>2705</v>
      </c>
      <c r="R739" s="11">
        <f>SUBTOTAL(3,_xlfn.SINGLE(tbl_file[RowId]))</f>
        <v>1</v>
      </c>
    </row>
    <row r="740" spans="10:18">
      <c r="J740" s="4">
        <v>527</v>
      </c>
      <c r="K740" s="21" t="str">
        <f>HYPERLINK("obsidian://open?vault=o2&amp;file=2025-04-03.md","2025-04-03")</f>
        <v>2025-04-03</v>
      </c>
      <c r="L740" s="20" t="s">
        <v>175</v>
      </c>
      <c r="M740" s="4"/>
      <c r="N740" s="2" t="s">
        <v>133</v>
      </c>
      <c r="O740" s="2" t="s">
        <v>2637</v>
      </c>
      <c r="P740" s="4">
        <v>1</v>
      </c>
      <c r="Q740" s="2" t="s">
        <v>2102</v>
      </c>
      <c r="R740" s="11">
        <f>SUBTOTAL(3,_xlfn.SINGLE(tbl_file[RowId]))</f>
        <v>1</v>
      </c>
    </row>
    <row r="741" spans="10:18">
      <c r="J741" s="4">
        <v>1839</v>
      </c>
      <c r="K741" s="21" t="str">
        <f>HYPERLINK("obsidian://open?vault=o2&amp;file=2025-04-07.md","2025-04-07")</f>
        <v>2025-04-07</v>
      </c>
      <c r="L741" s="20" t="s">
        <v>175</v>
      </c>
      <c r="M741" s="4"/>
      <c r="N741" s="2" t="s">
        <v>21</v>
      </c>
      <c r="O741" s="2"/>
      <c r="P741" s="4">
        <v>2</v>
      </c>
      <c r="Q741" s="2" t="s">
        <v>2644</v>
      </c>
      <c r="R741" s="11">
        <f>SUBTOTAL(3,_xlfn.SINGLE(tbl_file[RowId]))</f>
        <v>1</v>
      </c>
    </row>
    <row r="742" spans="10:18">
      <c r="J742" s="4">
        <v>1840</v>
      </c>
      <c r="K742" s="21" t="str">
        <f>HYPERLINK("obsidian://open?vault=o2&amp;file=2025-04-07.md","2025-04-07")</f>
        <v>2025-04-07</v>
      </c>
      <c r="L742" s="20" t="s">
        <v>175</v>
      </c>
      <c r="M742" s="4"/>
      <c r="N742" s="2" t="s">
        <v>35</v>
      </c>
      <c r="O742" s="2" t="s">
        <v>2704</v>
      </c>
      <c r="P742" s="4">
        <v>1</v>
      </c>
      <c r="Q742" s="2" t="s">
        <v>3074</v>
      </c>
      <c r="R742" s="11">
        <f>SUBTOTAL(3,_xlfn.SINGLE(tbl_file[RowId]))</f>
        <v>1</v>
      </c>
    </row>
    <row r="743" spans="10:18">
      <c r="J743" s="4">
        <v>1841</v>
      </c>
      <c r="K743" s="21" t="str">
        <f>HYPERLINK("obsidian://open?vault=o2&amp;file=2025-04-07.md","2025-04-07")</f>
        <v>2025-04-07</v>
      </c>
      <c r="L743" s="20" t="s">
        <v>175</v>
      </c>
      <c r="M743" s="4"/>
      <c r="N743" s="2" t="s">
        <v>2606</v>
      </c>
      <c r="O743" s="2"/>
      <c r="P743" s="4">
        <v>2</v>
      </c>
      <c r="Q743" s="2" t="s">
        <v>2705</v>
      </c>
      <c r="R743" s="11">
        <f>SUBTOTAL(3,_xlfn.SINGLE(tbl_file[RowId]))</f>
        <v>1</v>
      </c>
    </row>
    <row r="744" spans="10:18">
      <c r="J744" s="4">
        <v>1842</v>
      </c>
      <c r="K744" s="21" t="str">
        <f>HYPERLINK("obsidian://open?vault=o2&amp;file=2025-04-07.md","2025-04-07")</f>
        <v>2025-04-07</v>
      </c>
      <c r="L744" s="20" t="s">
        <v>175</v>
      </c>
      <c r="M744" s="4"/>
      <c r="N744" s="2" t="s">
        <v>133</v>
      </c>
      <c r="O744" s="2" t="s">
        <v>2637</v>
      </c>
      <c r="P744" s="4">
        <v>1</v>
      </c>
      <c r="Q744" s="2" t="s">
        <v>2102</v>
      </c>
      <c r="R744" s="11">
        <f>SUBTOTAL(3,_xlfn.SINGLE(tbl_file[RowId]))</f>
        <v>1</v>
      </c>
    </row>
    <row r="745" spans="10:18">
      <c r="J745" s="4">
        <v>1843</v>
      </c>
      <c r="K745" s="21" t="str">
        <f>HYPERLINK("obsidian://open?vault=o2&amp;file=2025-04-08.md","2025-04-08")</f>
        <v>2025-04-08</v>
      </c>
      <c r="L745" s="20" t="s">
        <v>175</v>
      </c>
      <c r="M745" s="4"/>
      <c r="N745" s="2" t="s">
        <v>21</v>
      </c>
      <c r="O745" s="2"/>
      <c r="P745" s="4">
        <v>2</v>
      </c>
      <c r="Q745" s="2" t="s">
        <v>2644</v>
      </c>
      <c r="R745" s="11">
        <f>SUBTOTAL(3,_xlfn.SINGLE(tbl_file[RowId]))</f>
        <v>1</v>
      </c>
    </row>
    <row r="746" spans="10:18">
      <c r="J746" s="4">
        <v>1844</v>
      </c>
      <c r="K746" s="21" t="str">
        <f>HYPERLINK("obsidian://open?vault=o2&amp;file=2025-04-08.md","2025-04-08")</f>
        <v>2025-04-08</v>
      </c>
      <c r="L746" s="20" t="s">
        <v>175</v>
      </c>
      <c r="M746" s="4"/>
      <c r="N746" s="2" t="s">
        <v>35</v>
      </c>
      <c r="O746" s="2" t="s">
        <v>2704</v>
      </c>
      <c r="P746" s="4">
        <v>1</v>
      </c>
      <c r="Q746" s="2" t="s">
        <v>3075</v>
      </c>
      <c r="R746" s="11">
        <f>SUBTOTAL(3,_xlfn.SINGLE(tbl_file[RowId]))</f>
        <v>1</v>
      </c>
    </row>
    <row r="747" spans="10:18">
      <c r="J747" s="4">
        <v>1845</v>
      </c>
      <c r="K747" s="21" t="str">
        <f>HYPERLINK("obsidian://open?vault=o2&amp;file=2025-04-08.md","2025-04-08")</f>
        <v>2025-04-08</v>
      </c>
      <c r="L747" s="20" t="s">
        <v>175</v>
      </c>
      <c r="M747" s="4"/>
      <c r="N747" s="2" t="s">
        <v>2606</v>
      </c>
      <c r="O747" s="2"/>
      <c r="P747" s="4">
        <v>2</v>
      </c>
      <c r="Q747" s="2" t="s">
        <v>2705</v>
      </c>
      <c r="R747" s="11">
        <f>SUBTOTAL(3,_xlfn.SINGLE(tbl_file[RowId]))</f>
        <v>1</v>
      </c>
    </row>
    <row r="748" spans="10:18">
      <c r="J748" s="4">
        <v>1846</v>
      </c>
      <c r="K748" s="21" t="str">
        <f>HYPERLINK("obsidian://open?vault=o2&amp;file=2025-04-08.md","2025-04-08")</f>
        <v>2025-04-08</v>
      </c>
      <c r="L748" s="20" t="s">
        <v>175</v>
      </c>
      <c r="M748" s="4"/>
      <c r="N748" s="2" t="s">
        <v>133</v>
      </c>
      <c r="O748" s="2" t="s">
        <v>2637</v>
      </c>
      <c r="P748" s="4">
        <v>1</v>
      </c>
      <c r="Q748" s="2" t="s">
        <v>2102</v>
      </c>
      <c r="R748" s="11">
        <f>SUBTOTAL(3,_xlfn.SINGLE(tbl_file[RowId]))</f>
        <v>1</v>
      </c>
    </row>
    <row r="749" spans="10:18">
      <c r="J749" s="4">
        <v>1847</v>
      </c>
      <c r="K749" s="21" t="str">
        <f>HYPERLINK("obsidian://open?vault=o2&amp;file=2025-04-10.md","2025-04-10")</f>
        <v>2025-04-10</v>
      </c>
      <c r="L749" s="20" t="s">
        <v>175</v>
      </c>
      <c r="M749" s="4"/>
      <c r="N749" s="2" t="s">
        <v>21</v>
      </c>
      <c r="O749" s="2"/>
      <c r="P749" s="4">
        <v>2</v>
      </c>
      <c r="Q749" s="2" t="s">
        <v>2644</v>
      </c>
      <c r="R749" s="11">
        <f>SUBTOTAL(3,_xlfn.SINGLE(tbl_file[RowId]))</f>
        <v>1</v>
      </c>
    </row>
    <row r="750" spans="10:18">
      <c r="J750" s="4">
        <v>1848</v>
      </c>
      <c r="K750" s="21" t="str">
        <f>HYPERLINK("obsidian://open?vault=o2&amp;file=2025-04-10.md","2025-04-10")</f>
        <v>2025-04-10</v>
      </c>
      <c r="L750" s="20" t="s">
        <v>175</v>
      </c>
      <c r="M750" s="4"/>
      <c r="N750" s="2" t="s">
        <v>35</v>
      </c>
      <c r="O750" s="2" t="s">
        <v>2704</v>
      </c>
      <c r="P750" s="4">
        <v>1</v>
      </c>
      <c r="Q750" s="2" t="s">
        <v>3076</v>
      </c>
      <c r="R750" s="11">
        <f>SUBTOTAL(3,_xlfn.SINGLE(tbl_file[RowId]))</f>
        <v>1</v>
      </c>
    </row>
    <row r="751" spans="10:18">
      <c r="J751" s="4">
        <v>1849</v>
      </c>
      <c r="K751" s="21" t="str">
        <f>HYPERLINK("obsidian://open?vault=o2&amp;file=2025-04-10.md","2025-04-10")</f>
        <v>2025-04-10</v>
      </c>
      <c r="L751" s="20" t="s">
        <v>175</v>
      </c>
      <c r="M751" s="4"/>
      <c r="N751" s="2" t="s">
        <v>2606</v>
      </c>
      <c r="O751" s="2"/>
      <c r="P751" s="4">
        <v>2</v>
      </c>
      <c r="Q751" s="2" t="s">
        <v>2705</v>
      </c>
      <c r="R751" s="11">
        <f>SUBTOTAL(3,_xlfn.SINGLE(tbl_file[RowId]))</f>
        <v>1</v>
      </c>
    </row>
    <row r="752" spans="10:18">
      <c r="J752" s="4">
        <v>1850</v>
      </c>
      <c r="K752" s="21" t="str">
        <f>HYPERLINK("obsidian://open?vault=o2&amp;file=2025-04-10.md","2025-04-10")</f>
        <v>2025-04-10</v>
      </c>
      <c r="L752" s="20" t="s">
        <v>175</v>
      </c>
      <c r="M752" s="4"/>
      <c r="N752" s="2" t="s">
        <v>133</v>
      </c>
      <c r="O752" s="2" t="s">
        <v>2637</v>
      </c>
      <c r="P752" s="4">
        <v>1</v>
      </c>
      <c r="Q752" s="2" t="s">
        <v>2102</v>
      </c>
      <c r="R752" s="11">
        <f>SUBTOTAL(3,_xlfn.SINGLE(tbl_file[RowId]))</f>
        <v>1</v>
      </c>
    </row>
    <row r="753" spans="10:18">
      <c r="J753" s="4">
        <v>1851</v>
      </c>
      <c r="K753" s="21" t="str">
        <f>HYPERLINK("obsidian://open?vault=o2&amp;file=2025-04-13.md","2025-04-13")</f>
        <v>2025-04-13</v>
      </c>
      <c r="L753" s="20" t="s">
        <v>175</v>
      </c>
      <c r="M753" s="4"/>
      <c r="N753" s="2" t="s">
        <v>21</v>
      </c>
      <c r="O753" s="2"/>
      <c r="P753" s="4">
        <v>2</v>
      </c>
      <c r="Q753" s="2" t="s">
        <v>2644</v>
      </c>
      <c r="R753" s="11">
        <f>SUBTOTAL(3,_xlfn.SINGLE(tbl_file[RowId]))</f>
        <v>1</v>
      </c>
    </row>
    <row r="754" spans="10:18">
      <c r="J754" s="4">
        <v>1852</v>
      </c>
      <c r="K754" s="21" t="str">
        <f>HYPERLINK("obsidian://open?vault=o2&amp;file=2025-04-13.md","2025-04-13")</f>
        <v>2025-04-13</v>
      </c>
      <c r="L754" s="20" t="s">
        <v>175</v>
      </c>
      <c r="M754" s="4"/>
      <c r="N754" s="2" t="s">
        <v>35</v>
      </c>
      <c r="O754" s="2" t="s">
        <v>2704</v>
      </c>
      <c r="P754" s="4">
        <v>1</v>
      </c>
      <c r="Q754" s="2" t="s">
        <v>3077</v>
      </c>
      <c r="R754" s="11">
        <f>SUBTOTAL(3,_xlfn.SINGLE(tbl_file[RowId]))</f>
        <v>1</v>
      </c>
    </row>
    <row r="755" spans="10:18">
      <c r="J755" s="4">
        <v>1853</v>
      </c>
      <c r="K755" s="21" t="str">
        <f>HYPERLINK("obsidian://open?vault=o2&amp;file=2025-04-13.md","2025-04-13")</f>
        <v>2025-04-13</v>
      </c>
      <c r="L755" s="20" t="s">
        <v>175</v>
      </c>
      <c r="M755" s="4"/>
      <c r="N755" s="2" t="s">
        <v>2606</v>
      </c>
      <c r="O755" s="2"/>
      <c r="P755" s="4">
        <v>2</v>
      </c>
      <c r="Q755" s="2" t="s">
        <v>2705</v>
      </c>
      <c r="R755" s="11">
        <f>SUBTOTAL(3,_xlfn.SINGLE(tbl_file[RowId]))</f>
        <v>1</v>
      </c>
    </row>
    <row r="756" spans="10:18">
      <c r="J756" s="4">
        <v>1854</v>
      </c>
      <c r="K756" s="21" t="str">
        <f>HYPERLINK("obsidian://open?vault=o2&amp;file=2025-04-13.md","2025-04-13")</f>
        <v>2025-04-13</v>
      </c>
      <c r="L756" s="20" t="s">
        <v>175</v>
      </c>
      <c r="M756" s="4"/>
      <c r="N756" s="2" t="s">
        <v>133</v>
      </c>
      <c r="O756" s="2" t="s">
        <v>2637</v>
      </c>
      <c r="P756" s="4">
        <v>1</v>
      </c>
      <c r="Q756" s="2" t="s">
        <v>2102</v>
      </c>
      <c r="R756" s="11">
        <f>SUBTOTAL(3,_xlfn.SINGLE(tbl_file[RowId]))</f>
        <v>1</v>
      </c>
    </row>
    <row r="757" spans="10:18">
      <c r="J757" s="4">
        <v>1855</v>
      </c>
      <c r="K757" s="21" t="str">
        <f>HYPERLINK("obsidian://open?vault=o2&amp;file=2025-04-14.md","2025-04-14")</f>
        <v>2025-04-14</v>
      </c>
      <c r="L757" s="20" t="s">
        <v>175</v>
      </c>
      <c r="M757" s="4"/>
      <c r="N757" s="2" t="s">
        <v>21</v>
      </c>
      <c r="O757" s="2"/>
      <c r="P757" s="4">
        <v>2</v>
      </c>
      <c r="Q757" s="2" t="s">
        <v>2644</v>
      </c>
      <c r="R757" s="11">
        <f>SUBTOTAL(3,_xlfn.SINGLE(tbl_file[RowId]))</f>
        <v>1</v>
      </c>
    </row>
    <row r="758" spans="10:18">
      <c r="J758" s="4">
        <v>1856</v>
      </c>
      <c r="K758" s="21" t="str">
        <f>HYPERLINK("obsidian://open?vault=o2&amp;file=2025-04-14.md","2025-04-14")</f>
        <v>2025-04-14</v>
      </c>
      <c r="L758" s="20" t="s">
        <v>175</v>
      </c>
      <c r="M758" s="4"/>
      <c r="N758" s="2" t="s">
        <v>35</v>
      </c>
      <c r="O758" s="2" t="s">
        <v>2704</v>
      </c>
      <c r="P758" s="4">
        <v>1</v>
      </c>
      <c r="Q758" s="2" t="s">
        <v>3078</v>
      </c>
      <c r="R758" s="11">
        <f>SUBTOTAL(3,_xlfn.SINGLE(tbl_file[RowId]))</f>
        <v>1</v>
      </c>
    </row>
    <row r="759" spans="10:18">
      <c r="J759" s="4">
        <v>1857</v>
      </c>
      <c r="K759" s="21" t="str">
        <f>HYPERLINK("obsidian://open?vault=o2&amp;file=2025-04-14.md","2025-04-14")</f>
        <v>2025-04-14</v>
      </c>
      <c r="L759" s="20" t="s">
        <v>175</v>
      </c>
      <c r="M759" s="4"/>
      <c r="N759" s="2" t="s">
        <v>2606</v>
      </c>
      <c r="O759" s="2"/>
      <c r="P759" s="4">
        <v>2</v>
      </c>
      <c r="Q759" s="2" t="s">
        <v>2705</v>
      </c>
      <c r="R759" s="11">
        <f>SUBTOTAL(3,_xlfn.SINGLE(tbl_file[RowId]))</f>
        <v>1</v>
      </c>
    </row>
    <row r="760" spans="10:18">
      <c r="J760" s="4">
        <v>1858</v>
      </c>
      <c r="K760" s="21" t="str">
        <f>HYPERLINK("obsidian://open?vault=o2&amp;file=2025-04-14.md","2025-04-14")</f>
        <v>2025-04-14</v>
      </c>
      <c r="L760" s="20" t="s">
        <v>175</v>
      </c>
      <c r="M760" s="4"/>
      <c r="N760" s="2" t="s">
        <v>133</v>
      </c>
      <c r="O760" s="2" t="s">
        <v>2637</v>
      </c>
      <c r="P760" s="4">
        <v>1</v>
      </c>
      <c r="Q760" s="2" t="s">
        <v>2102</v>
      </c>
      <c r="R760" s="11">
        <f>SUBTOTAL(3,_xlfn.SINGLE(tbl_file[RowId]))</f>
        <v>1</v>
      </c>
    </row>
    <row r="761" spans="10:18">
      <c r="J761" s="4">
        <v>1859</v>
      </c>
      <c r="K761" s="21" t="str">
        <f>HYPERLINK("obsidian://open?vault=o2&amp;file=2025-04-17.md","2025-04-17")</f>
        <v>2025-04-17</v>
      </c>
      <c r="L761" s="20" t="s">
        <v>175</v>
      </c>
      <c r="M761" s="4"/>
      <c r="N761" s="2" t="s">
        <v>21</v>
      </c>
      <c r="O761" s="2"/>
      <c r="P761" s="4">
        <v>2</v>
      </c>
      <c r="Q761" s="2" t="s">
        <v>2644</v>
      </c>
      <c r="R761" s="11">
        <f>SUBTOTAL(3,_xlfn.SINGLE(tbl_file[RowId]))</f>
        <v>1</v>
      </c>
    </row>
    <row r="762" spans="10:18">
      <c r="J762" s="4">
        <v>1860</v>
      </c>
      <c r="K762" s="21" t="str">
        <f>HYPERLINK("obsidian://open?vault=o2&amp;file=2025-04-17.md","2025-04-17")</f>
        <v>2025-04-17</v>
      </c>
      <c r="L762" s="20" t="s">
        <v>175</v>
      </c>
      <c r="M762" s="4"/>
      <c r="N762" s="2" t="s">
        <v>35</v>
      </c>
      <c r="O762" s="2" t="s">
        <v>2704</v>
      </c>
      <c r="P762" s="4">
        <v>1</v>
      </c>
      <c r="Q762" s="2" t="s">
        <v>3079</v>
      </c>
      <c r="R762" s="11">
        <f>SUBTOTAL(3,_xlfn.SINGLE(tbl_file[RowId]))</f>
        <v>1</v>
      </c>
    </row>
    <row r="763" spans="10:18">
      <c r="J763" s="4">
        <v>1861</v>
      </c>
      <c r="K763" s="21" t="str">
        <f>HYPERLINK("obsidian://open?vault=o2&amp;file=2025-04-17.md","2025-04-17")</f>
        <v>2025-04-17</v>
      </c>
      <c r="L763" s="20" t="s">
        <v>175</v>
      </c>
      <c r="M763" s="4"/>
      <c r="N763" s="2" t="s">
        <v>2606</v>
      </c>
      <c r="O763" s="2"/>
      <c r="P763" s="4">
        <v>2</v>
      </c>
      <c r="Q763" s="2" t="s">
        <v>2705</v>
      </c>
      <c r="R763" s="11">
        <f>SUBTOTAL(3,_xlfn.SINGLE(tbl_file[RowId]))</f>
        <v>1</v>
      </c>
    </row>
    <row r="764" spans="10:18">
      <c r="J764" s="4">
        <v>1862</v>
      </c>
      <c r="K764" s="21" t="str">
        <f>HYPERLINK("obsidian://open?vault=o2&amp;file=2025-04-17.md","2025-04-17")</f>
        <v>2025-04-17</v>
      </c>
      <c r="L764" s="20" t="s">
        <v>175</v>
      </c>
      <c r="M764" s="4"/>
      <c r="N764" s="2" t="s">
        <v>133</v>
      </c>
      <c r="O764" s="2" t="s">
        <v>2637</v>
      </c>
      <c r="P764" s="4">
        <v>1</v>
      </c>
      <c r="Q764" s="2" t="s">
        <v>2102</v>
      </c>
      <c r="R764" s="11">
        <f>SUBTOTAL(3,_xlfn.SINGLE(tbl_file[RowId]))</f>
        <v>1</v>
      </c>
    </row>
    <row r="765" spans="10:18">
      <c r="J765" s="4">
        <v>549</v>
      </c>
      <c r="K765" s="21" t="str">
        <f t="shared" ref="K765:K783" si="8">HYPERLINK("obsidian://open?vault=o2&amp;file=22%20FREE%20Windows%20Utilities%20EVERY%20User%20MUST%20Know%20About%21.md","22 FREE Windows Utilities EVERY User MUST Know About!")</f>
        <v>22 FREE Windows Utilities EVERY User MUST Know About!</v>
      </c>
      <c r="L765" s="20" t="s">
        <v>175</v>
      </c>
      <c r="M765" s="4"/>
      <c r="N765" s="2" t="s">
        <v>11</v>
      </c>
      <c r="O765" s="2"/>
      <c r="P765" s="4">
        <v>1</v>
      </c>
      <c r="Q765" s="2" t="s">
        <v>182</v>
      </c>
      <c r="R765" s="11">
        <f>SUBTOTAL(3,_xlfn.SINGLE(tbl_file[RowId]))</f>
        <v>1</v>
      </c>
    </row>
    <row r="766" spans="10:18">
      <c r="J766" s="4">
        <v>550</v>
      </c>
      <c r="K766" s="21" t="str">
        <f t="shared" si="8"/>
        <v>22 FREE Windows Utilities EVERY User MUST Know About!</v>
      </c>
      <c r="L766" s="20" t="s">
        <v>175</v>
      </c>
      <c r="M766" s="4"/>
      <c r="N766" s="2" t="s">
        <v>13</v>
      </c>
      <c r="O766" s="2"/>
      <c r="P766" s="4">
        <v>1</v>
      </c>
      <c r="Q766" s="2" t="s">
        <v>320</v>
      </c>
      <c r="R766" s="11">
        <f>SUBTOTAL(3,_xlfn.SINGLE(tbl_file[RowId]))</f>
        <v>1</v>
      </c>
    </row>
    <row r="767" spans="10:18">
      <c r="J767" s="4">
        <v>551</v>
      </c>
      <c r="K767" s="21" t="str">
        <f t="shared" si="8"/>
        <v>22 FREE Windows Utilities EVERY User MUST Know About!</v>
      </c>
      <c r="L767" s="20" t="s">
        <v>175</v>
      </c>
      <c r="M767" s="4"/>
      <c r="N767" s="2" t="s">
        <v>16</v>
      </c>
      <c r="O767" s="2"/>
      <c r="P767" s="4">
        <v>1</v>
      </c>
      <c r="Q767" s="2" t="s">
        <v>320</v>
      </c>
      <c r="R767" s="11">
        <f>SUBTOTAL(3,_xlfn.SINGLE(tbl_file[RowId]))</f>
        <v>1</v>
      </c>
    </row>
    <row r="768" spans="10:18">
      <c r="J768" s="4">
        <v>552</v>
      </c>
      <c r="K768" s="21" t="str">
        <f t="shared" si="8"/>
        <v>22 FREE Windows Utilities EVERY User MUST Know About!</v>
      </c>
      <c r="L768" s="20" t="s">
        <v>175</v>
      </c>
      <c r="M768" s="4"/>
      <c r="N768" s="2" t="s">
        <v>37</v>
      </c>
      <c r="O768" s="2"/>
      <c r="P768" s="4">
        <v>1</v>
      </c>
      <c r="Q768" s="2" t="s">
        <v>577</v>
      </c>
      <c r="R768" s="11">
        <f>SUBTOTAL(3,_xlfn.SINGLE(tbl_file[RowId]))</f>
        <v>1</v>
      </c>
    </row>
    <row r="769" spans="10:18">
      <c r="J769" s="4">
        <v>553</v>
      </c>
      <c r="K769" s="21" t="str">
        <f t="shared" si="8"/>
        <v>22 FREE Windows Utilities EVERY User MUST Know About!</v>
      </c>
      <c r="L769" s="20" t="s">
        <v>175</v>
      </c>
      <c r="M769" s="4"/>
      <c r="N769" s="2" t="s">
        <v>48</v>
      </c>
      <c r="O769" s="2"/>
      <c r="P769" s="4">
        <v>18</v>
      </c>
      <c r="Q769" s="2" t="s">
        <v>2710</v>
      </c>
      <c r="R769" s="11">
        <f>SUBTOTAL(3,_xlfn.SINGLE(tbl_file[RowId]))</f>
        <v>1</v>
      </c>
    </row>
    <row r="770" spans="10:18">
      <c r="J770" s="4">
        <v>554</v>
      </c>
      <c r="K770" s="21" t="str">
        <f t="shared" si="8"/>
        <v>22 FREE Windows Utilities EVERY User MUST Know About!</v>
      </c>
      <c r="L770" s="20" t="s">
        <v>175</v>
      </c>
      <c r="M770" s="4"/>
      <c r="N770" s="2" t="s">
        <v>119</v>
      </c>
      <c r="O770" s="2"/>
      <c r="P770" s="4">
        <v>1</v>
      </c>
      <c r="Q770" s="2" t="s">
        <v>2711</v>
      </c>
      <c r="R770" s="11">
        <f>SUBTOTAL(3,_xlfn.SINGLE(tbl_file[RowId]))</f>
        <v>1</v>
      </c>
    </row>
    <row r="771" spans="10:18">
      <c r="J771" s="4">
        <v>555</v>
      </c>
      <c r="K771" s="21" t="str">
        <f t="shared" si="8"/>
        <v>22 FREE Windows Utilities EVERY User MUST Know About!</v>
      </c>
      <c r="L771" s="20" t="s">
        <v>175</v>
      </c>
      <c r="M771" s="4"/>
      <c r="N771" s="2" t="s">
        <v>126</v>
      </c>
      <c r="O771" s="2"/>
      <c r="P771" s="4">
        <v>1</v>
      </c>
      <c r="Q771" s="2" t="s">
        <v>2712</v>
      </c>
      <c r="R771" s="11">
        <f>SUBTOTAL(3,_xlfn.SINGLE(tbl_file[RowId]))</f>
        <v>1</v>
      </c>
    </row>
    <row r="772" spans="10:18">
      <c r="J772" s="4">
        <v>556</v>
      </c>
      <c r="K772" s="21" t="str">
        <f t="shared" si="8"/>
        <v>22 FREE Windows Utilities EVERY User MUST Know About!</v>
      </c>
      <c r="L772" s="20" t="s">
        <v>175</v>
      </c>
      <c r="M772" s="4"/>
      <c r="N772" s="2" t="s">
        <v>2606</v>
      </c>
      <c r="O772" s="2"/>
      <c r="P772" s="4">
        <v>3</v>
      </c>
      <c r="Q772" s="2" t="s">
        <v>2713</v>
      </c>
      <c r="R772" s="11">
        <f>SUBTOTAL(3,_xlfn.SINGLE(tbl_file[RowId]))</f>
        <v>1</v>
      </c>
    </row>
    <row r="773" spans="10:18">
      <c r="J773" s="4">
        <v>557</v>
      </c>
      <c r="K773" s="21" t="str">
        <f t="shared" si="8"/>
        <v>22 FREE Windows Utilities EVERY User MUST Know About!</v>
      </c>
      <c r="L773" s="20" t="s">
        <v>175</v>
      </c>
      <c r="M773" s="4"/>
      <c r="N773" s="2" t="s">
        <v>131</v>
      </c>
      <c r="O773" s="2"/>
      <c r="P773" s="4">
        <v>1</v>
      </c>
      <c r="Q773" s="2" t="s">
        <v>1987</v>
      </c>
      <c r="R773" s="11">
        <f>SUBTOTAL(3,_xlfn.SINGLE(tbl_file[RowId]))</f>
        <v>1</v>
      </c>
    </row>
    <row r="774" spans="10:18">
      <c r="J774" s="4">
        <v>558</v>
      </c>
      <c r="K774" s="21" t="str">
        <f t="shared" si="8"/>
        <v>22 FREE Windows Utilities EVERY User MUST Know About!</v>
      </c>
      <c r="L774" s="20" t="s">
        <v>175</v>
      </c>
      <c r="M774" s="4"/>
      <c r="N774" s="2" t="s">
        <v>132</v>
      </c>
      <c r="O774" s="2"/>
      <c r="P774" s="4">
        <v>1</v>
      </c>
      <c r="Q774" s="2" t="s">
        <v>182</v>
      </c>
      <c r="R774" s="11">
        <f>SUBTOTAL(3,_xlfn.SINGLE(tbl_file[RowId]))</f>
        <v>1</v>
      </c>
    </row>
    <row r="775" spans="10:18">
      <c r="J775" s="4">
        <v>559</v>
      </c>
      <c r="K775" s="21" t="str">
        <f t="shared" si="8"/>
        <v>22 FREE Windows Utilities EVERY User MUST Know About!</v>
      </c>
      <c r="L775" s="20" t="s">
        <v>175</v>
      </c>
      <c r="M775" s="4"/>
      <c r="N775" s="2" t="s">
        <v>137</v>
      </c>
      <c r="O775" s="2"/>
      <c r="P775" s="4">
        <v>1</v>
      </c>
      <c r="Q775" s="2" t="s">
        <v>2217</v>
      </c>
      <c r="R775" s="11">
        <f>SUBTOTAL(3,_xlfn.SINGLE(tbl_file[RowId]))</f>
        <v>1</v>
      </c>
    </row>
    <row r="776" spans="10:18">
      <c r="J776" s="4">
        <v>560</v>
      </c>
      <c r="K776" s="21" t="str">
        <f t="shared" si="8"/>
        <v>22 FREE Windows Utilities EVERY User MUST Know About!</v>
      </c>
      <c r="L776" s="20" t="s">
        <v>175</v>
      </c>
      <c r="M776" s="4" t="s">
        <v>2626</v>
      </c>
      <c r="N776" s="2" t="s">
        <v>2606</v>
      </c>
      <c r="O776" s="2"/>
      <c r="P776" s="4">
        <v>3</v>
      </c>
      <c r="Q776" s="2" t="s">
        <v>2714</v>
      </c>
      <c r="R776" s="11">
        <f>SUBTOTAL(3,_xlfn.SINGLE(tbl_file[RowId]))</f>
        <v>1</v>
      </c>
    </row>
    <row r="777" spans="10:18">
      <c r="J777" s="4">
        <v>938</v>
      </c>
      <c r="K777" s="21" t="str">
        <f t="shared" si="8"/>
        <v>22 FREE Windows Utilities EVERY User MUST Know About!</v>
      </c>
      <c r="L777" s="20" t="s">
        <v>175</v>
      </c>
      <c r="M777" s="4"/>
      <c r="N777" s="2" t="s">
        <v>33</v>
      </c>
      <c r="O777" s="2"/>
      <c r="P777" s="4">
        <v>1</v>
      </c>
      <c r="Q777" s="2" t="s">
        <v>467</v>
      </c>
      <c r="R777" s="11">
        <f>SUBTOTAL(3,_xlfn.SINGLE(tbl_file[RowId]))</f>
        <v>1</v>
      </c>
    </row>
    <row r="778" spans="10:18">
      <c r="J778" s="4">
        <v>939</v>
      </c>
      <c r="K778" s="21" t="str">
        <f t="shared" si="8"/>
        <v>22 FREE Windows Utilities EVERY User MUST Know About!</v>
      </c>
      <c r="L778" s="20" t="s">
        <v>175</v>
      </c>
      <c r="M778" s="4"/>
      <c r="N778" s="2" t="s">
        <v>50</v>
      </c>
      <c r="O778" s="2"/>
      <c r="P778" s="4">
        <v>1</v>
      </c>
      <c r="Q778" s="2" t="s">
        <v>1676</v>
      </c>
      <c r="R778" s="11">
        <f>SUBTOTAL(3,_xlfn.SINGLE(tbl_file[RowId]))</f>
        <v>1</v>
      </c>
    </row>
    <row r="779" spans="10:18">
      <c r="J779" s="4">
        <v>940</v>
      </c>
      <c r="K779" s="21" t="str">
        <f t="shared" si="8"/>
        <v>22 FREE Windows Utilities EVERY User MUST Know About!</v>
      </c>
      <c r="L779" s="20" t="s">
        <v>175</v>
      </c>
      <c r="M779" s="4"/>
      <c r="N779" s="2" t="s">
        <v>121</v>
      </c>
      <c r="O779" s="2"/>
      <c r="P779" s="4">
        <v>1</v>
      </c>
      <c r="Q779" s="2" t="s">
        <v>1847</v>
      </c>
      <c r="R779" s="11">
        <f>SUBTOTAL(3,_xlfn.SINGLE(tbl_file[RowId]))</f>
        <v>1</v>
      </c>
    </row>
    <row r="780" spans="10:18">
      <c r="J780" s="4">
        <v>941</v>
      </c>
      <c r="K780" s="21" t="str">
        <f t="shared" si="8"/>
        <v>22 FREE Windows Utilities EVERY User MUST Know About!</v>
      </c>
      <c r="L780" s="20" t="s">
        <v>175</v>
      </c>
      <c r="M780" s="4"/>
      <c r="N780" s="2" t="s">
        <v>2606</v>
      </c>
      <c r="O780" s="2"/>
      <c r="P780" s="4">
        <v>1</v>
      </c>
      <c r="Q780" s="2" t="s">
        <v>2378</v>
      </c>
      <c r="R780" s="11">
        <f>SUBTOTAL(3,_xlfn.SINGLE(tbl_file[RowId]))</f>
        <v>1</v>
      </c>
    </row>
    <row r="781" spans="10:18">
      <c r="J781" s="4">
        <v>942</v>
      </c>
      <c r="K781" s="21" t="str">
        <f t="shared" si="8"/>
        <v>22 FREE Windows Utilities EVERY User MUST Know About!</v>
      </c>
      <c r="L781" s="20" t="s">
        <v>175</v>
      </c>
      <c r="M781" s="4"/>
      <c r="N781" s="2" t="s">
        <v>132</v>
      </c>
      <c r="O781" s="2"/>
      <c r="P781" s="4">
        <v>1</v>
      </c>
      <c r="Q781" s="2" t="s">
        <v>182</v>
      </c>
      <c r="R781" s="11">
        <f>SUBTOTAL(3,_xlfn.SINGLE(tbl_file[RowId]))</f>
        <v>1</v>
      </c>
    </row>
    <row r="782" spans="10:18">
      <c r="J782" s="4">
        <v>943</v>
      </c>
      <c r="K782" s="21" t="str">
        <f t="shared" si="8"/>
        <v>22 FREE Windows Utilities EVERY User MUST Know About!</v>
      </c>
      <c r="L782" s="20" t="s">
        <v>175</v>
      </c>
      <c r="M782" s="4"/>
      <c r="N782" s="2" t="s">
        <v>137</v>
      </c>
      <c r="O782" s="2"/>
      <c r="P782" s="4">
        <v>1</v>
      </c>
      <c r="Q782" s="2" t="s">
        <v>2183</v>
      </c>
      <c r="R782" s="11">
        <f>SUBTOTAL(3,_xlfn.SINGLE(tbl_file[RowId]))</f>
        <v>1</v>
      </c>
    </row>
    <row r="783" spans="10:18">
      <c r="J783" s="4">
        <v>944</v>
      </c>
      <c r="K783" s="21" t="str">
        <f t="shared" si="8"/>
        <v>22 FREE Windows Utilities EVERY User MUST Know About!</v>
      </c>
      <c r="L783" s="20" t="s">
        <v>175</v>
      </c>
      <c r="M783" s="4" t="s">
        <v>2626</v>
      </c>
      <c r="N783" s="2" t="s">
        <v>2606</v>
      </c>
      <c r="O783" s="2"/>
      <c r="P783" s="4">
        <v>3</v>
      </c>
      <c r="Q783" s="2" t="s">
        <v>2966</v>
      </c>
      <c r="R783" s="11">
        <f>SUBTOTAL(3,_xlfn.SINGLE(tbl_file[RowId]))</f>
        <v>1</v>
      </c>
    </row>
    <row r="784" spans="10:18">
      <c r="J784" s="4">
        <v>210</v>
      </c>
      <c r="K784" s="21" t="str">
        <f>HYPERLINK("obsidian://open?vault=o2&amp;file=27%20Useful%20CSS%20Plugins%20for%20Obsidian.md","27 Useful CSS Plugins for Obsidian")</f>
        <v>27 Useful CSS Plugins for Obsidian</v>
      </c>
      <c r="L784" s="20" t="s">
        <v>175</v>
      </c>
      <c r="M784" s="4"/>
      <c r="N784" s="2" t="s">
        <v>118</v>
      </c>
      <c r="O784" s="2"/>
      <c r="P784" s="4">
        <v>1</v>
      </c>
      <c r="Q784" s="2" t="s">
        <v>1641</v>
      </c>
      <c r="R784" s="11">
        <f>SUBTOTAL(3,_xlfn.SINGLE(tbl_file[RowId]))</f>
        <v>1</v>
      </c>
    </row>
    <row r="785" spans="10:18">
      <c r="J785" s="4">
        <v>211</v>
      </c>
      <c r="K785" s="21" t="str">
        <f>HYPERLINK("obsidian://open?vault=o2&amp;file=27%20Useful%20CSS%20Plugins%20for%20Obsidian.md","27 Useful CSS Plugins for Obsidian")</f>
        <v>27 Useful CSS Plugins for Obsidian</v>
      </c>
      <c r="L785" s="20" t="s">
        <v>175</v>
      </c>
      <c r="M785" s="4"/>
      <c r="N785" s="2" t="s">
        <v>123</v>
      </c>
      <c r="O785" s="2"/>
      <c r="P785" s="4">
        <v>1</v>
      </c>
      <c r="Q785" s="2" t="s">
        <v>1564</v>
      </c>
      <c r="R785" s="11">
        <f>SUBTOTAL(3,_xlfn.SINGLE(tbl_file[RowId]))</f>
        <v>1</v>
      </c>
    </row>
    <row r="786" spans="10:18">
      <c r="J786" s="4">
        <v>212</v>
      </c>
      <c r="K786" s="21" t="str">
        <f>HYPERLINK("obsidian://open?vault=o2&amp;file=27%20Useful%20CSS%20Plugins%20for%20Obsidian.md","27 Useful CSS Plugins for Obsidian")</f>
        <v>27 Useful CSS Plugins for Obsidian</v>
      </c>
      <c r="L786" s="20" t="s">
        <v>175</v>
      </c>
      <c r="M786" s="4"/>
      <c r="N786" s="2" t="s">
        <v>127</v>
      </c>
      <c r="O786" s="2"/>
      <c r="P786" s="4">
        <v>1</v>
      </c>
      <c r="Q786" s="2" t="s">
        <v>1968</v>
      </c>
      <c r="R786" s="11">
        <f>SUBTOTAL(3,_xlfn.SINGLE(tbl_file[RowId]))</f>
        <v>1</v>
      </c>
    </row>
    <row r="787" spans="10:18">
      <c r="J787" s="4">
        <v>213</v>
      </c>
      <c r="K787" s="21" t="str">
        <f>HYPERLINK("obsidian://open?vault=o2&amp;file=27%20Useful%20CSS%20Plugins%20for%20Obsidian.md","27 Useful CSS Plugins for Obsidian")</f>
        <v>27 Useful CSS Plugins for Obsidian</v>
      </c>
      <c r="L787" s="20" t="s">
        <v>175</v>
      </c>
      <c r="M787" s="4"/>
      <c r="N787" s="2" t="s">
        <v>2606</v>
      </c>
      <c r="O787" s="2"/>
      <c r="P787" s="4">
        <v>6</v>
      </c>
      <c r="Q787" s="2" t="s">
        <v>2648</v>
      </c>
      <c r="R787" s="11">
        <f>SUBTOTAL(3,_xlfn.SINGLE(tbl_file[RowId]))</f>
        <v>1</v>
      </c>
    </row>
    <row r="788" spans="10:18">
      <c r="J788" s="4">
        <v>214</v>
      </c>
      <c r="K788" s="21" t="str">
        <f>HYPERLINK("obsidian://open?vault=o2&amp;file=27%20Useful%20CSS%20Plugins%20for%20Obsidian.md","27 Useful CSS Plugins for Obsidian")</f>
        <v>27 Useful CSS Plugins for Obsidian</v>
      </c>
      <c r="L788" s="20" t="s">
        <v>175</v>
      </c>
      <c r="M788" s="4"/>
      <c r="N788" s="2" t="s">
        <v>133</v>
      </c>
      <c r="O788" s="2"/>
      <c r="P788" s="4">
        <v>1</v>
      </c>
      <c r="Q788" s="2" t="s">
        <v>2107</v>
      </c>
      <c r="R788" s="11">
        <f>SUBTOTAL(3,_xlfn.SINGLE(tbl_file[RowId]))</f>
        <v>1</v>
      </c>
    </row>
    <row r="789" spans="10:18">
      <c r="J789" s="4">
        <v>452</v>
      </c>
      <c r="K789" s="21" t="str">
        <f>HYPERLINK("obsidian://open?vault=o2&amp;file=2-Areas.md","2-Areas")</f>
        <v>2-Areas</v>
      </c>
      <c r="L789" s="20" t="s">
        <v>175</v>
      </c>
      <c r="M789" s="4"/>
      <c r="N789" s="2" t="s">
        <v>14</v>
      </c>
      <c r="O789" s="2"/>
      <c r="P789" s="4">
        <v>1</v>
      </c>
      <c r="Q789" s="2" t="s">
        <v>348</v>
      </c>
      <c r="R789" s="11">
        <f>SUBTOTAL(3,_xlfn.SINGLE(tbl_file[RowId]))</f>
        <v>1</v>
      </c>
    </row>
    <row r="790" spans="10:18">
      <c r="J790" s="4">
        <v>453</v>
      </c>
      <c r="K790" s="21" t="str">
        <f>HYPERLINK("obsidian://open?vault=o2&amp;file=2-Areas.md","2-Areas")</f>
        <v>2-Areas</v>
      </c>
      <c r="L790" s="20" t="s">
        <v>175</v>
      </c>
      <c r="M790" s="4"/>
      <c r="N790" s="2" t="s">
        <v>2606</v>
      </c>
      <c r="O790" s="2"/>
      <c r="P790" s="4">
        <v>1</v>
      </c>
      <c r="Q790" s="2" t="s">
        <v>2578</v>
      </c>
      <c r="R790" s="11">
        <f>SUBTOTAL(3,_xlfn.SINGLE(tbl_file[RowId]))</f>
        <v>1</v>
      </c>
    </row>
    <row r="791" spans="10:18">
      <c r="J791" s="4">
        <v>528</v>
      </c>
      <c r="K791" s="21" t="str">
        <f>HYPERLINK("obsidian://open?vault=o2&amp;file=3-Resources.md","3-Resources")</f>
        <v>3-Resources</v>
      </c>
      <c r="L791" s="20" t="s">
        <v>175</v>
      </c>
      <c r="M791" s="4"/>
      <c r="N791" s="2" t="s">
        <v>23</v>
      </c>
      <c r="O791" s="2"/>
      <c r="P791" s="4">
        <v>1</v>
      </c>
      <c r="Q791" s="2" t="s">
        <v>420</v>
      </c>
      <c r="R791" s="11">
        <f>SUBTOTAL(3,_xlfn.SINGLE(tbl_file[RowId]))</f>
        <v>1</v>
      </c>
    </row>
    <row r="792" spans="10:18">
      <c r="J792" s="4">
        <v>529</v>
      </c>
      <c r="K792" s="21" t="str">
        <f>HYPERLINK("obsidian://open?vault=o2&amp;file=3-Resources.md","3-Resources")</f>
        <v>3-Resources</v>
      </c>
      <c r="L792" s="20" t="s">
        <v>175</v>
      </c>
      <c r="M792" s="4"/>
      <c r="N792" s="2" t="s">
        <v>133</v>
      </c>
      <c r="O792" s="2"/>
      <c r="P792" s="4">
        <v>1</v>
      </c>
      <c r="Q792" s="2" t="s">
        <v>2102</v>
      </c>
      <c r="R792" s="11">
        <f>SUBTOTAL(3,_xlfn.SINGLE(tbl_file[RowId]))</f>
        <v>1</v>
      </c>
    </row>
    <row r="793" spans="10:18">
      <c r="J793" s="4">
        <v>1333</v>
      </c>
      <c r="K793" s="21" t="str">
        <f>HYPERLINK("obsidian://open?vault=o2&amp;file=4-Archives.md","4-Archives")</f>
        <v>4-Archives</v>
      </c>
      <c r="L793" s="20" t="s">
        <v>175</v>
      </c>
      <c r="M793" s="4"/>
      <c r="N793" s="2" t="s">
        <v>21</v>
      </c>
      <c r="O793" s="2"/>
      <c r="P793" s="4">
        <v>1</v>
      </c>
      <c r="Q793" s="2" t="s">
        <v>420</v>
      </c>
      <c r="R793" s="11">
        <f>SUBTOTAL(3,_xlfn.SINGLE(tbl_file[RowId]))</f>
        <v>1</v>
      </c>
    </row>
    <row r="794" spans="10:18">
      <c r="J794" s="4">
        <v>1334</v>
      </c>
      <c r="K794" s="21" t="str">
        <f>HYPERLINK("obsidian://open?vault=o2&amp;file=4-Archives.md","4-Archives")</f>
        <v>4-Archives</v>
      </c>
      <c r="L794" s="20" t="s">
        <v>175</v>
      </c>
      <c r="M794" s="4"/>
      <c r="N794" s="2" t="s">
        <v>133</v>
      </c>
      <c r="O794" s="2"/>
      <c r="P794" s="4">
        <v>1</v>
      </c>
      <c r="Q794" s="2" t="s">
        <v>2605</v>
      </c>
      <c r="R794" s="11">
        <f>SUBTOTAL(3,_xlfn.SINGLE(tbl_file[RowId]))</f>
        <v>1</v>
      </c>
    </row>
    <row r="795" spans="10:18">
      <c r="J795" s="4">
        <v>1337</v>
      </c>
      <c r="K795" s="21" t="str">
        <f>HYPERLINK("obsidian://open?vault=o2&amp;file=50%20Best%20Christmas%20Movies.md","50 Best Christmas Movies")</f>
        <v>50 Best Christmas Movies</v>
      </c>
      <c r="L795" s="20" t="s">
        <v>175</v>
      </c>
      <c r="M795" s="4"/>
      <c r="N795" s="2" t="s">
        <v>50</v>
      </c>
      <c r="O795" s="2"/>
      <c r="P795" s="4">
        <v>1</v>
      </c>
      <c r="Q795" s="2" t="s">
        <v>1438</v>
      </c>
      <c r="R795" s="11">
        <f>SUBTOTAL(3,_xlfn.SINGLE(tbl_file[RowId]))</f>
        <v>1</v>
      </c>
    </row>
    <row r="796" spans="10:18">
      <c r="J796" s="4">
        <v>1338</v>
      </c>
      <c r="K796" s="21" t="str">
        <f>HYPERLINK("obsidian://open?vault=o2&amp;file=50%20Best%20Christmas%20Movies.md","50 Best Christmas Movies")</f>
        <v>50 Best Christmas Movies</v>
      </c>
      <c r="L796" s="20" t="s">
        <v>175</v>
      </c>
      <c r="M796" s="4"/>
      <c r="N796" s="2" t="s">
        <v>121</v>
      </c>
      <c r="O796" s="2"/>
      <c r="P796" s="4">
        <v>1</v>
      </c>
      <c r="Q796" s="2" t="s">
        <v>1836</v>
      </c>
      <c r="R796" s="11">
        <f>SUBTOTAL(3,_xlfn.SINGLE(tbl_file[RowId]))</f>
        <v>1</v>
      </c>
    </row>
    <row r="797" spans="10:18">
      <c r="J797" s="4">
        <v>1339</v>
      </c>
      <c r="K797" s="21" t="str">
        <f>HYPERLINK("obsidian://open?vault=o2&amp;file=50%20Best%20Christmas%20Movies.md","50 Best Christmas Movies")</f>
        <v>50 Best Christmas Movies</v>
      </c>
      <c r="L797" s="20" t="s">
        <v>175</v>
      </c>
      <c r="M797" s="4"/>
      <c r="N797" s="2" t="s">
        <v>2606</v>
      </c>
      <c r="O797" s="2"/>
      <c r="P797" s="4">
        <v>4</v>
      </c>
      <c r="Q797" s="2" t="s">
        <v>3023</v>
      </c>
      <c r="R797" s="11">
        <f>SUBTOTAL(3,_xlfn.SINGLE(tbl_file[RowId]))</f>
        <v>1</v>
      </c>
    </row>
    <row r="798" spans="10:18">
      <c r="J798" s="4">
        <v>1340</v>
      </c>
      <c r="K798" s="21" t="str">
        <f>HYPERLINK("obsidian://open?vault=o2&amp;file=50%20Best%20Christmas%20Movies.md","50 Best Christmas Movies")</f>
        <v>50 Best Christmas Movies</v>
      </c>
      <c r="L798" s="20" t="s">
        <v>175</v>
      </c>
      <c r="M798" s="4"/>
      <c r="N798" s="2" t="s">
        <v>133</v>
      </c>
      <c r="O798" s="2"/>
      <c r="P798" s="4">
        <v>1</v>
      </c>
      <c r="Q798" s="2" t="s">
        <v>2622</v>
      </c>
      <c r="R798" s="11">
        <f>SUBTOTAL(3,_xlfn.SINGLE(tbl_file[RowId]))</f>
        <v>1</v>
      </c>
    </row>
    <row r="799" spans="10:18">
      <c r="J799" s="4">
        <v>1085</v>
      </c>
      <c r="K799" s="21" t="str">
        <f>HYPERLINK("obsidian://open?vault=o2&amp;file=50%20Watercolor%20Painting%20Tips.md","50 Watercolor Painting Tips")</f>
        <v>50 Watercolor Painting Tips</v>
      </c>
      <c r="L799" s="20" t="s">
        <v>175</v>
      </c>
      <c r="M799" s="4"/>
      <c r="N799" s="2" t="s">
        <v>50</v>
      </c>
      <c r="O799" s="2"/>
      <c r="P799" s="4">
        <v>1</v>
      </c>
      <c r="Q799" s="2" t="s">
        <v>1698</v>
      </c>
      <c r="R799" s="11">
        <f>SUBTOTAL(3,_xlfn.SINGLE(tbl_file[RowId]))</f>
        <v>1</v>
      </c>
    </row>
    <row r="800" spans="10:18">
      <c r="J800" s="4">
        <v>1086</v>
      </c>
      <c r="K800" s="21" t="str">
        <f>HYPERLINK("obsidian://open?vault=o2&amp;file=50%20Watercolor%20Painting%20Tips.md","50 Watercolor Painting Tips")</f>
        <v>50 Watercolor Painting Tips</v>
      </c>
      <c r="L800" s="20" t="s">
        <v>175</v>
      </c>
      <c r="M800" s="4"/>
      <c r="N800" s="2" t="s">
        <v>2606</v>
      </c>
      <c r="O800" s="2"/>
      <c r="P800" s="4">
        <v>1</v>
      </c>
      <c r="Q800" s="2" t="s">
        <v>2372</v>
      </c>
      <c r="R800" s="11">
        <f>SUBTOTAL(3,_xlfn.SINGLE(tbl_file[RowId]))</f>
        <v>1</v>
      </c>
    </row>
    <row r="801" spans="10:18">
      <c r="J801" s="4">
        <v>1087</v>
      </c>
      <c r="K801" s="21" t="str">
        <f>HYPERLINK("obsidian://open?vault=o2&amp;file=50%20Watercolor%20Painting%20Tips.md","50 Watercolor Painting Tips")</f>
        <v>50 Watercolor Painting Tips</v>
      </c>
      <c r="L801" s="20" t="s">
        <v>175</v>
      </c>
      <c r="M801" s="4"/>
      <c r="N801" s="2" t="s">
        <v>133</v>
      </c>
      <c r="O801" s="2"/>
      <c r="P801" s="4">
        <v>1</v>
      </c>
      <c r="Q801" s="2" t="s">
        <v>2107</v>
      </c>
      <c r="R801" s="11">
        <f>SUBTOTAL(3,_xlfn.SINGLE(tbl_file[RowId]))</f>
        <v>1</v>
      </c>
    </row>
    <row r="802" spans="10:18">
      <c r="J802" s="4">
        <v>1335</v>
      </c>
      <c r="K802" s="21" t="str">
        <f>HYPERLINK("obsidian://open?vault=o2&amp;file=5-Misc.md","5-Misc")</f>
        <v>5-Misc</v>
      </c>
      <c r="L802" s="20" t="s">
        <v>175</v>
      </c>
      <c r="M802" s="4"/>
      <c r="N802" s="2" t="s">
        <v>21</v>
      </c>
      <c r="O802" s="2"/>
      <c r="P802" s="4">
        <v>1</v>
      </c>
      <c r="Q802" s="2" t="s">
        <v>420</v>
      </c>
      <c r="R802" s="11">
        <f>SUBTOTAL(3,_xlfn.SINGLE(tbl_file[RowId]))</f>
        <v>1</v>
      </c>
    </row>
    <row r="803" spans="10:18">
      <c r="J803" s="4">
        <v>1336</v>
      </c>
      <c r="K803" s="21" t="str">
        <f>HYPERLINK("obsidian://open?vault=o2&amp;file=5-Misc.md","5-Misc")</f>
        <v>5-Misc</v>
      </c>
      <c r="L803" s="20" t="s">
        <v>175</v>
      </c>
      <c r="M803" s="4"/>
      <c r="N803" s="2" t="s">
        <v>133</v>
      </c>
      <c r="O803" s="2"/>
      <c r="P803" s="4">
        <v>1</v>
      </c>
      <c r="Q803" s="2" t="s">
        <v>2605</v>
      </c>
      <c r="R803" s="11">
        <f>SUBTOTAL(3,_xlfn.SINGLE(tbl_file[RowId]))</f>
        <v>1</v>
      </c>
    </row>
    <row r="804" spans="10:18">
      <c r="J804" s="4">
        <v>1341</v>
      </c>
      <c r="K804" s="21" t="str">
        <f>HYPERLINK("obsidian://open?vault=o2&amp;file=6%20Best%20Cheap%20Web%20Hosting%20Services%20%28Current%20Deals%29.md","6 Best Cheap Web Hosting Services (Current Deals)")</f>
        <v>6 Best Cheap Web Hosting Services (Current Deals)</v>
      </c>
      <c r="L804" s="20" t="s">
        <v>175</v>
      </c>
      <c r="M804" s="4"/>
      <c r="N804" s="2" t="s">
        <v>33</v>
      </c>
      <c r="O804" s="2"/>
      <c r="P804" s="4">
        <v>1</v>
      </c>
      <c r="Q804" s="2" t="s">
        <v>451</v>
      </c>
      <c r="R804" s="11">
        <f>SUBTOTAL(3,_xlfn.SINGLE(tbl_file[RowId]))</f>
        <v>1</v>
      </c>
    </row>
    <row r="805" spans="10:18">
      <c r="J805" s="4">
        <v>1342</v>
      </c>
      <c r="K805" s="21" t="str">
        <f>HYPERLINK("obsidian://open?vault=o2&amp;file=6%20Best%20Cheap%20Web%20Hosting%20Services%20%28Current%20Deals%29.md","6 Best Cheap Web Hosting Services (Current Deals)")</f>
        <v>6 Best Cheap Web Hosting Services (Current Deals)</v>
      </c>
      <c r="L805" s="20" t="s">
        <v>175</v>
      </c>
      <c r="M805" s="4"/>
      <c r="N805" s="2" t="s">
        <v>46</v>
      </c>
      <c r="O805" s="2"/>
      <c r="P805" s="4">
        <v>1</v>
      </c>
      <c r="Q805" s="2" t="s">
        <v>628</v>
      </c>
      <c r="R805" s="11">
        <f>SUBTOTAL(3,_xlfn.SINGLE(tbl_file[RowId]))</f>
        <v>1</v>
      </c>
    </row>
    <row r="806" spans="10:18">
      <c r="J806" s="4">
        <v>1343</v>
      </c>
      <c r="K806" s="21" t="str">
        <f>HYPERLINK("obsidian://open?vault=o2&amp;file=6%20Best%20Cheap%20Web%20Hosting%20Services%20%28Current%20Deals%29.md","6 Best Cheap Web Hosting Services (Current Deals)")</f>
        <v>6 Best Cheap Web Hosting Services (Current Deals)</v>
      </c>
      <c r="L806" s="20" t="s">
        <v>175</v>
      </c>
      <c r="M806" s="4"/>
      <c r="N806" s="2" t="s">
        <v>2606</v>
      </c>
      <c r="O806" s="2"/>
      <c r="P806" s="4">
        <v>1</v>
      </c>
      <c r="Q806" s="2" t="s">
        <v>2372</v>
      </c>
      <c r="R806" s="11">
        <f>SUBTOTAL(3,_xlfn.SINGLE(tbl_file[RowId]))</f>
        <v>1</v>
      </c>
    </row>
    <row r="807" spans="10:18">
      <c r="J807" s="4">
        <v>1344</v>
      </c>
      <c r="K807" s="21" t="str">
        <f>HYPERLINK("obsidian://open?vault=o2&amp;file=6%20Best%20Cheap%20Web%20Hosting%20Services%20%28Current%20Deals%29.md","6 Best Cheap Web Hosting Services (Current Deals)")</f>
        <v>6 Best Cheap Web Hosting Services (Current Deals)</v>
      </c>
      <c r="L807" s="20" t="s">
        <v>175</v>
      </c>
      <c r="M807" s="4"/>
      <c r="N807" s="2" t="s">
        <v>137</v>
      </c>
      <c r="O807" s="2"/>
      <c r="P807" s="4">
        <v>1</v>
      </c>
      <c r="Q807" s="2" t="s">
        <v>2187</v>
      </c>
      <c r="R807" s="11">
        <f>SUBTOTAL(3,_xlfn.SINGLE(tbl_file[RowId]))</f>
        <v>1</v>
      </c>
    </row>
    <row r="808" spans="10:18">
      <c r="J808" s="4">
        <v>364</v>
      </c>
      <c r="K808" s="21" t="str">
        <f>HYPERLINK("obsidian://open?vault=o2&amp;file=60%20Affirmations.md","60 Affirmations")</f>
        <v>60 Affirmations</v>
      </c>
      <c r="L808" s="20" t="s">
        <v>175</v>
      </c>
      <c r="M808" s="4"/>
      <c r="N808" s="2" t="s">
        <v>50</v>
      </c>
      <c r="O808" s="2"/>
      <c r="P808" s="4">
        <v>2</v>
      </c>
      <c r="Q808" s="2" t="s">
        <v>2671</v>
      </c>
      <c r="R808" s="11">
        <f>SUBTOTAL(3,_xlfn.SINGLE(tbl_file[RowId]))</f>
        <v>1</v>
      </c>
    </row>
    <row r="809" spans="10:18">
      <c r="J809" s="4">
        <v>365</v>
      </c>
      <c r="K809" s="21" t="str">
        <f>HYPERLINK("obsidian://open?vault=o2&amp;file=60%20Affirmations.md","60 Affirmations")</f>
        <v>60 Affirmations</v>
      </c>
      <c r="L809" s="20" t="s">
        <v>175</v>
      </c>
      <c r="M809" s="4"/>
      <c r="N809" s="2" t="s">
        <v>127</v>
      </c>
      <c r="O809" s="2"/>
      <c r="P809" s="4">
        <v>1</v>
      </c>
      <c r="Q809" s="2" t="s">
        <v>1960</v>
      </c>
      <c r="R809" s="11">
        <f>SUBTOTAL(3,_xlfn.SINGLE(tbl_file[RowId]))</f>
        <v>1</v>
      </c>
    </row>
    <row r="810" spans="10:18">
      <c r="J810" s="4">
        <v>366</v>
      </c>
      <c r="K810" s="21" t="str">
        <f>HYPERLINK("obsidian://open?vault=o2&amp;file=60%20Affirmations.md","60 Affirmations")</f>
        <v>60 Affirmations</v>
      </c>
      <c r="L810" s="20" t="s">
        <v>175</v>
      </c>
      <c r="M810" s="4"/>
      <c r="N810" s="2" t="s">
        <v>2606</v>
      </c>
      <c r="O810" s="2"/>
      <c r="P810" s="4">
        <v>4</v>
      </c>
      <c r="Q810" s="2" t="s">
        <v>2672</v>
      </c>
      <c r="R810" s="11">
        <f>SUBTOTAL(3,_xlfn.SINGLE(tbl_file[RowId]))</f>
        <v>1</v>
      </c>
    </row>
    <row r="811" spans="10:18">
      <c r="J811" s="4">
        <v>367</v>
      </c>
      <c r="K811" s="21" t="str">
        <f>HYPERLINK("obsidian://open?vault=o2&amp;file=60%20Affirmations.md","60 Affirmations")</f>
        <v>60 Affirmations</v>
      </c>
      <c r="L811" s="20" t="s">
        <v>175</v>
      </c>
      <c r="M811" s="4"/>
      <c r="N811" s="2" t="s">
        <v>133</v>
      </c>
      <c r="O811" s="2"/>
      <c r="P811" s="4">
        <v>1</v>
      </c>
      <c r="Q811" s="2" t="s">
        <v>2111</v>
      </c>
      <c r="R811" s="11">
        <f>SUBTOTAL(3,_xlfn.SINGLE(tbl_file[RowId]))</f>
        <v>1</v>
      </c>
    </row>
    <row r="812" spans="10:18">
      <c r="J812" s="4">
        <v>1890</v>
      </c>
      <c r="K812" s="21" t="str">
        <f>HYPERLINK("obsidian://open?vault=o2&amp;file=60%20Best%20FREE%20Online%20Courses%20with%20Certificates%20%282023%29.md","60 Best FREE Online Courses with Certificates (2023)")</f>
        <v>60 Best FREE Online Courses with Certificates (2023)</v>
      </c>
      <c r="L812" s="20" t="s">
        <v>175</v>
      </c>
      <c r="M812" s="4" t="s">
        <v>2626</v>
      </c>
      <c r="N812" s="2" t="s">
        <v>2606</v>
      </c>
      <c r="O812" s="2"/>
      <c r="P812" s="4">
        <v>1</v>
      </c>
      <c r="Q812" s="2" t="s">
        <v>2538</v>
      </c>
      <c r="R812" s="11">
        <f>SUBTOTAL(3,_xlfn.SINGLE(tbl_file[RowId]))</f>
        <v>1</v>
      </c>
    </row>
    <row r="813" spans="10:18">
      <c r="J813" s="4">
        <v>1345</v>
      </c>
      <c r="K813" s="21" t="str">
        <f>HYPERLINK("obsidian://open?vault=o2&amp;file=6-Journal.md","6-Journal")</f>
        <v>6-Journal</v>
      </c>
      <c r="L813" s="20" t="s">
        <v>175</v>
      </c>
      <c r="M813" s="4"/>
      <c r="N813" s="2" t="s">
        <v>21</v>
      </c>
      <c r="O813" s="2"/>
      <c r="P813" s="4">
        <v>1</v>
      </c>
      <c r="Q813" s="2" t="s">
        <v>420</v>
      </c>
      <c r="R813" s="11">
        <f>SUBTOTAL(3,_xlfn.SINGLE(tbl_file[RowId]))</f>
        <v>1</v>
      </c>
    </row>
    <row r="814" spans="10:18">
      <c r="J814" s="4">
        <v>1346</v>
      </c>
      <c r="K814" s="21" t="str">
        <f>HYPERLINK("obsidian://open?vault=o2&amp;file=6-Journal.md","6-Journal")</f>
        <v>6-Journal</v>
      </c>
      <c r="L814" s="20" t="s">
        <v>175</v>
      </c>
      <c r="M814" s="4"/>
      <c r="N814" s="2" t="s">
        <v>133</v>
      </c>
      <c r="O814" s="2"/>
      <c r="P814" s="4">
        <v>1</v>
      </c>
      <c r="Q814" s="2" t="s">
        <v>2605</v>
      </c>
      <c r="R814" s="11">
        <f>SUBTOTAL(3,_xlfn.SINGLE(tbl_file[RowId]))</f>
        <v>1</v>
      </c>
    </row>
    <row r="815" spans="10:18">
      <c r="J815" s="4">
        <v>561</v>
      </c>
      <c r="K815" s="21" t="str">
        <f t="shared" ref="K815:K826" si="9">HYPERLINK("obsidian://open?vault=o2&amp;file=8%20Easy%20Food%20Plating%20Hacks%20That%20Will%20Blow%20You%20Away.md","8 Easy Food Plating Hacks That Will Blow You Away")</f>
        <v>8 Easy Food Plating Hacks That Will Blow You Away</v>
      </c>
      <c r="L815" s="20" t="s">
        <v>175</v>
      </c>
      <c r="M815" s="4"/>
      <c r="N815" s="2" t="s">
        <v>11</v>
      </c>
      <c r="O815" s="2"/>
      <c r="P815" s="4">
        <v>1</v>
      </c>
      <c r="Q815" s="2" t="s">
        <v>184</v>
      </c>
      <c r="R815" s="11">
        <f>SUBTOTAL(3,_xlfn.SINGLE(tbl_file[RowId]))</f>
        <v>1</v>
      </c>
    </row>
    <row r="816" spans="10:18">
      <c r="J816" s="4">
        <v>562</v>
      </c>
      <c r="K816" s="21" t="str">
        <f t="shared" si="9"/>
        <v>8 Easy Food Plating Hacks That Will Blow You Away</v>
      </c>
      <c r="L816" s="20" t="s">
        <v>175</v>
      </c>
      <c r="M816" s="4"/>
      <c r="N816" s="2" t="s">
        <v>13</v>
      </c>
      <c r="O816" s="2"/>
      <c r="P816" s="4">
        <v>1</v>
      </c>
      <c r="Q816" s="2" t="s">
        <v>328</v>
      </c>
      <c r="R816" s="11">
        <f>SUBTOTAL(3,_xlfn.SINGLE(tbl_file[RowId]))</f>
        <v>1</v>
      </c>
    </row>
    <row r="817" spans="10:18">
      <c r="J817" s="4">
        <v>563</v>
      </c>
      <c r="K817" s="21" t="str">
        <f t="shared" si="9"/>
        <v>8 Easy Food Plating Hacks That Will Blow You Away</v>
      </c>
      <c r="L817" s="20" t="s">
        <v>175</v>
      </c>
      <c r="M817" s="4"/>
      <c r="N817" s="2" t="s">
        <v>16</v>
      </c>
      <c r="O817" s="2"/>
      <c r="P817" s="4">
        <v>1</v>
      </c>
      <c r="Q817" s="2" t="s">
        <v>328</v>
      </c>
      <c r="R817" s="11">
        <f>SUBTOTAL(3,_xlfn.SINGLE(tbl_file[RowId]))</f>
        <v>1</v>
      </c>
    </row>
    <row r="818" spans="10:18">
      <c r="J818" s="4">
        <v>564</v>
      </c>
      <c r="K818" s="21" t="str">
        <f t="shared" si="9"/>
        <v>8 Easy Food Plating Hacks That Will Blow You Away</v>
      </c>
      <c r="L818" s="20" t="s">
        <v>175</v>
      </c>
      <c r="M818" s="4"/>
      <c r="N818" s="2" t="s">
        <v>37</v>
      </c>
      <c r="O818" s="2"/>
      <c r="P818" s="4">
        <v>1</v>
      </c>
      <c r="Q818" s="2" t="s">
        <v>581</v>
      </c>
      <c r="R818" s="11">
        <f>SUBTOTAL(3,_xlfn.SINGLE(tbl_file[RowId]))</f>
        <v>1</v>
      </c>
    </row>
    <row r="819" spans="10:18">
      <c r="J819" s="4">
        <v>565</v>
      </c>
      <c r="K819" s="21" t="str">
        <f t="shared" si="9"/>
        <v>8 Easy Food Plating Hacks That Will Blow You Away</v>
      </c>
      <c r="L819" s="20" t="s">
        <v>175</v>
      </c>
      <c r="M819" s="4"/>
      <c r="N819" s="2" t="s">
        <v>45</v>
      </c>
      <c r="O819" s="2"/>
      <c r="P819" s="4">
        <v>1</v>
      </c>
      <c r="Q819" s="2" t="s">
        <v>620</v>
      </c>
      <c r="R819" s="11">
        <f>SUBTOTAL(3,_xlfn.SINGLE(tbl_file[RowId]))</f>
        <v>1</v>
      </c>
    </row>
    <row r="820" spans="10:18">
      <c r="J820" s="4">
        <v>566</v>
      </c>
      <c r="K820" s="21" t="str">
        <f t="shared" si="9"/>
        <v>8 Easy Food Plating Hacks That Will Blow You Away</v>
      </c>
      <c r="L820" s="20" t="s">
        <v>175</v>
      </c>
      <c r="M820" s="4"/>
      <c r="N820" s="2" t="s">
        <v>48</v>
      </c>
      <c r="O820" s="2"/>
      <c r="P820" s="4">
        <v>29</v>
      </c>
      <c r="Q820" s="2" t="s">
        <v>2715</v>
      </c>
      <c r="R820" s="11">
        <f>SUBTOTAL(3,_xlfn.SINGLE(tbl_file[RowId]))</f>
        <v>1</v>
      </c>
    </row>
    <row r="821" spans="10:18">
      <c r="J821" s="4">
        <v>567</v>
      </c>
      <c r="K821" s="21" t="str">
        <f t="shared" si="9"/>
        <v>8 Easy Food Plating Hacks That Will Blow You Away</v>
      </c>
      <c r="L821" s="20" t="s">
        <v>175</v>
      </c>
      <c r="M821" s="4"/>
      <c r="N821" s="2" t="s">
        <v>119</v>
      </c>
      <c r="O821" s="2"/>
      <c r="P821" s="4">
        <v>1</v>
      </c>
      <c r="Q821" s="2" t="s">
        <v>2716</v>
      </c>
      <c r="R821" s="11">
        <f>SUBTOTAL(3,_xlfn.SINGLE(tbl_file[RowId]))</f>
        <v>1</v>
      </c>
    </row>
    <row r="822" spans="10:18">
      <c r="J822" s="4">
        <v>568</v>
      </c>
      <c r="K822" s="21" t="str">
        <f t="shared" si="9"/>
        <v>8 Easy Food Plating Hacks That Will Blow You Away</v>
      </c>
      <c r="L822" s="20" t="s">
        <v>175</v>
      </c>
      <c r="M822" s="4"/>
      <c r="N822" s="2" t="s">
        <v>126</v>
      </c>
      <c r="O822" s="2"/>
      <c r="P822" s="4">
        <v>1</v>
      </c>
      <c r="Q822" s="2" t="s">
        <v>2717</v>
      </c>
      <c r="R822" s="11">
        <f>SUBTOTAL(3,_xlfn.SINGLE(tbl_file[RowId]))</f>
        <v>1</v>
      </c>
    </row>
    <row r="823" spans="10:18">
      <c r="J823" s="4">
        <v>569</v>
      </c>
      <c r="K823" s="21" t="str">
        <f t="shared" si="9"/>
        <v>8 Easy Food Plating Hacks That Will Blow You Away</v>
      </c>
      <c r="L823" s="20" t="s">
        <v>175</v>
      </c>
      <c r="M823" s="4"/>
      <c r="N823" s="2" t="s">
        <v>131</v>
      </c>
      <c r="O823" s="2"/>
      <c r="P823" s="4">
        <v>1</v>
      </c>
      <c r="Q823" s="2" t="s">
        <v>2013</v>
      </c>
      <c r="R823" s="11">
        <f>SUBTOTAL(3,_xlfn.SINGLE(tbl_file[RowId]))</f>
        <v>1</v>
      </c>
    </row>
    <row r="824" spans="10:18">
      <c r="J824" s="4">
        <v>570</v>
      </c>
      <c r="K824" s="21" t="str">
        <f t="shared" si="9"/>
        <v>8 Easy Food Plating Hacks That Will Blow You Away</v>
      </c>
      <c r="L824" s="20" t="s">
        <v>175</v>
      </c>
      <c r="M824" s="4"/>
      <c r="N824" s="2" t="s">
        <v>132</v>
      </c>
      <c r="O824" s="2"/>
      <c r="P824" s="4">
        <v>1</v>
      </c>
      <c r="Q824" s="2" t="s">
        <v>184</v>
      </c>
      <c r="R824" s="11">
        <f>SUBTOTAL(3,_xlfn.SINGLE(tbl_file[RowId]))</f>
        <v>1</v>
      </c>
    </row>
    <row r="825" spans="10:18">
      <c r="J825" s="4">
        <v>571</v>
      </c>
      <c r="K825" s="21" t="str">
        <f t="shared" si="9"/>
        <v>8 Easy Food Plating Hacks That Will Blow You Away</v>
      </c>
      <c r="L825" s="20" t="s">
        <v>175</v>
      </c>
      <c r="M825" s="4"/>
      <c r="N825" s="2" t="s">
        <v>137</v>
      </c>
      <c r="O825" s="2"/>
      <c r="P825" s="4">
        <v>1</v>
      </c>
      <c r="Q825" s="2" t="s">
        <v>2243</v>
      </c>
      <c r="R825" s="11">
        <f>SUBTOTAL(3,_xlfn.SINGLE(tbl_file[RowId]))</f>
        <v>1</v>
      </c>
    </row>
    <row r="826" spans="10:18">
      <c r="J826" s="4">
        <v>572</v>
      </c>
      <c r="K826" s="21" t="str">
        <f t="shared" si="9"/>
        <v>8 Easy Food Plating Hacks That Will Blow You Away</v>
      </c>
      <c r="L826" s="20" t="s">
        <v>175</v>
      </c>
      <c r="M826" s="4" t="s">
        <v>2626</v>
      </c>
      <c r="N826" s="2" t="s">
        <v>2606</v>
      </c>
      <c r="O826" s="2"/>
      <c r="P826" s="4">
        <v>1</v>
      </c>
      <c r="Q826" s="2" t="s">
        <v>2371</v>
      </c>
      <c r="R826" s="11">
        <f>SUBTOTAL(3,_xlfn.SINGLE(tbl_file[RowId]))</f>
        <v>1</v>
      </c>
    </row>
    <row r="827" spans="10:18">
      <c r="J827" s="4">
        <v>13</v>
      </c>
      <c r="K827" s="21" t="str">
        <f>HYPERLINK("obsidian://open?vault=o2&amp;file=A%20Brief%20Explanation%20of%20How%20Servarr%27s%20Work.md","A Brief Explanation of How Servarr's Work")</f>
        <v>A Brief Explanation of How Servarr's Work</v>
      </c>
      <c r="L827" s="20" t="s">
        <v>175</v>
      </c>
      <c r="M827" s="4"/>
      <c r="N827" s="2" t="s">
        <v>127</v>
      </c>
      <c r="O827" s="2"/>
      <c r="P827" s="4">
        <v>1</v>
      </c>
      <c r="Q827" s="2" t="s">
        <v>1960</v>
      </c>
      <c r="R827" s="11">
        <f>SUBTOTAL(3,_xlfn.SINGLE(tbl_file[RowId]))</f>
        <v>1</v>
      </c>
    </row>
    <row r="828" spans="10:18">
      <c r="J828" s="4">
        <v>14</v>
      </c>
      <c r="K828" s="21" t="str">
        <f>HYPERLINK("obsidian://open?vault=o2&amp;file=A%20Brief%20Explanation%20of%20How%20Servarr%27s%20Work.md","A Brief Explanation of How Servarr's Work")</f>
        <v>A Brief Explanation of How Servarr's Work</v>
      </c>
      <c r="L828" s="20" t="s">
        <v>175</v>
      </c>
      <c r="M828" s="4"/>
      <c r="N828" s="2" t="s">
        <v>133</v>
      </c>
      <c r="O828" s="2"/>
      <c r="P828" s="4">
        <v>1</v>
      </c>
      <c r="Q828" s="2" t="s">
        <v>2111</v>
      </c>
      <c r="R828" s="11">
        <f>SUBTOTAL(3,_xlfn.SINGLE(tbl_file[RowId]))</f>
        <v>1</v>
      </c>
    </row>
    <row r="829" spans="10:18">
      <c r="J829" s="4">
        <v>1891</v>
      </c>
      <c r="K829" s="21" t="str">
        <f>HYPERLINK("obsidian://open?vault=o2&amp;file=A%20copy%20of%20my%20userChrome.css%20as%20of%202023-02-04.md","A copy of my userChrome.css as of 2023-02-04")</f>
        <v>A copy of my userChrome.css as of 2023-02-04</v>
      </c>
      <c r="L829" s="20" t="s">
        <v>175</v>
      </c>
      <c r="M829" s="4"/>
      <c r="N829" s="2" t="s">
        <v>50</v>
      </c>
      <c r="O829" s="2" t="s">
        <v>2646</v>
      </c>
      <c r="P829" s="4">
        <v>2</v>
      </c>
      <c r="Q829" s="2" t="s">
        <v>3081</v>
      </c>
      <c r="R829" s="11">
        <f>SUBTOTAL(3,_xlfn.SINGLE(tbl_file[RowId]))</f>
        <v>1</v>
      </c>
    </row>
    <row r="830" spans="10:18">
      <c r="J830" s="4">
        <v>1892</v>
      </c>
      <c r="K830" s="21" t="str">
        <f>HYPERLINK("obsidian://open?vault=o2&amp;file=A%20copy%20of%20my%20userChrome.css%20as%20of%202023-02-04.md","A copy of my userChrome.css as of 2023-02-04")</f>
        <v>A copy of my userChrome.css as of 2023-02-04</v>
      </c>
      <c r="L830" s="20" t="s">
        <v>175</v>
      </c>
      <c r="M830" s="4"/>
      <c r="N830" s="2" t="s">
        <v>2606</v>
      </c>
      <c r="O830" s="2"/>
      <c r="P830" s="4">
        <v>1</v>
      </c>
      <c r="Q830" s="2" t="s">
        <v>2464</v>
      </c>
      <c r="R830" s="11">
        <f>SUBTOTAL(3,_xlfn.SINGLE(tbl_file[RowId]))</f>
        <v>1</v>
      </c>
    </row>
    <row r="831" spans="10:18">
      <c r="J831" s="4">
        <v>945</v>
      </c>
      <c r="K831" s="21" t="str">
        <f t="shared" ref="K831:K838" si="10">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L831" s="20" t="s">
        <v>175</v>
      </c>
      <c r="M831" s="4"/>
      <c r="N831" s="2" t="s">
        <v>11</v>
      </c>
      <c r="O831" s="2"/>
      <c r="P831" s="4">
        <v>1</v>
      </c>
      <c r="Q831" s="2" t="s">
        <v>258</v>
      </c>
      <c r="R831" s="11">
        <f>SUBTOTAL(3,_xlfn.SINGLE(tbl_file[RowId]))</f>
        <v>1</v>
      </c>
    </row>
    <row r="832" spans="10:18">
      <c r="J832" s="4">
        <v>946</v>
      </c>
      <c r="K832" s="21" t="str">
        <f t="shared" si="10"/>
        <v>A Deep Learning based project for colorizing and restoring old images (and video!)</v>
      </c>
      <c r="L832" s="20" t="s">
        <v>175</v>
      </c>
      <c r="M832" s="4"/>
      <c r="N832" s="2" t="s">
        <v>33</v>
      </c>
      <c r="O832" s="2"/>
      <c r="P832" s="4">
        <v>1</v>
      </c>
      <c r="Q832" s="2" t="s">
        <v>469</v>
      </c>
      <c r="R832" s="11">
        <f>SUBTOTAL(3,_xlfn.SINGLE(tbl_file[RowId]))</f>
        <v>1</v>
      </c>
    </row>
    <row r="833" spans="10:18">
      <c r="J833" s="4">
        <v>947</v>
      </c>
      <c r="K833" s="21" t="str">
        <f t="shared" si="10"/>
        <v>A Deep Learning based project for colorizing and restoring old images (and video!)</v>
      </c>
      <c r="L833" s="20" t="s">
        <v>175</v>
      </c>
      <c r="M833" s="4"/>
      <c r="N833" s="2" t="s">
        <v>46</v>
      </c>
      <c r="O833" s="2"/>
      <c r="P833" s="4">
        <v>1</v>
      </c>
      <c r="Q833" s="2" t="s">
        <v>641</v>
      </c>
      <c r="R833" s="11">
        <f>SUBTOTAL(3,_xlfn.SINGLE(tbl_file[RowId]))</f>
        <v>1</v>
      </c>
    </row>
    <row r="834" spans="10:18">
      <c r="J834" s="4">
        <v>948</v>
      </c>
      <c r="K834" s="21" t="str">
        <f t="shared" si="10"/>
        <v>A Deep Learning based project for colorizing and restoring old images (and video!)</v>
      </c>
      <c r="L834" s="20" t="s">
        <v>175</v>
      </c>
      <c r="M834" s="4"/>
      <c r="N834" s="2" t="s">
        <v>121</v>
      </c>
      <c r="O834" s="2"/>
      <c r="P834" s="4">
        <v>1</v>
      </c>
      <c r="Q834" s="2" t="s">
        <v>1840</v>
      </c>
      <c r="R834" s="11">
        <f>SUBTOTAL(3,_xlfn.SINGLE(tbl_file[RowId]))</f>
        <v>1</v>
      </c>
    </row>
    <row r="835" spans="10:18">
      <c r="J835" s="4">
        <v>949</v>
      </c>
      <c r="K835" s="21" t="str">
        <f t="shared" si="10"/>
        <v>A Deep Learning based project for colorizing and restoring old images (and video!)</v>
      </c>
      <c r="L835" s="20" t="s">
        <v>175</v>
      </c>
      <c r="M835" s="4"/>
      <c r="N835" s="2" t="s">
        <v>2606</v>
      </c>
      <c r="O835" s="2"/>
      <c r="P835" s="4">
        <v>2</v>
      </c>
      <c r="Q835" s="2" t="s">
        <v>2967</v>
      </c>
      <c r="R835" s="11">
        <f>SUBTOTAL(3,_xlfn.SINGLE(tbl_file[RowId]))</f>
        <v>1</v>
      </c>
    </row>
    <row r="836" spans="10:18">
      <c r="J836" s="4">
        <v>950</v>
      </c>
      <c r="K836" s="21" t="str">
        <f t="shared" si="10"/>
        <v>A Deep Learning based project for colorizing and restoring old images (and video!)</v>
      </c>
      <c r="L836" s="20" t="s">
        <v>175</v>
      </c>
      <c r="M836" s="4"/>
      <c r="N836" s="2" t="s">
        <v>132</v>
      </c>
      <c r="O836" s="2"/>
      <c r="P836" s="4">
        <v>1</v>
      </c>
      <c r="Q836" s="2" t="s">
        <v>2048</v>
      </c>
      <c r="R836" s="11">
        <f>SUBTOTAL(3,_xlfn.SINGLE(tbl_file[RowId]))</f>
        <v>1</v>
      </c>
    </row>
    <row r="837" spans="10:18">
      <c r="J837" s="4">
        <v>951</v>
      </c>
      <c r="K837" s="21" t="str">
        <f t="shared" si="10"/>
        <v>A Deep Learning based project for colorizing and restoring old images (and video!)</v>
      </c>
      <c r="L837" s="20" t="s">
        <v>175</v>
      </c>
      <c r="M837" s="4"/>
      <c r="N837" s="2" t="s">
        <v>137</v>
      </c>
      <c r="O837" s="2"/>
      <c r="P837" s="4">
        <v>1</v>
      </c>
      <c r="Q837" s="2" t="s">
        <v>2163</v>
      </c>
      <c r="R837" s="11">
        <f>SUBTOTAL(3,_xlfn.SINGLE(tbl_file[RowId]))</f>
        <v>1</v>
      </c>
    </row>
    <row r="838" spans="10:18">
      <c r="J838" s="4">
        <v>952</v>
      </c>
      <c r="K838" s="21" t="str">
        <f t="shared" si="10"/>
        <v>A Deep Learning based project for colorizing and restoring old images (and video!)</v>
      </c>
      <c r="L838" s="20" t="s">
        <v>175</v>
      </c>
      <c r="M838" s="4" t="s">
        <v>2626</v>
      </c>
      <c r="N838" s="2" t="s">
        <v>2606</v>
      </c>
      <c r="O838" s="2"/>
      <c r="P838" s="4">
        <v>12</v>
      </c>
      <c r="Q838" s="2" t="s">
        <v>2968</v>
      </c>
      <c r="R838" s="11">
        <f>SUBTOTAL(3,_xlfn.SINGLE(tbl_file[RowId]))</f>
        <v>1</v>
      </c>
    </row>
    <row r="839" spans="10:18">
      <c r="J839" s="4">
        <v>458</v>
      </c>
      <c r="K839" s="21" t="str">
        <f>HYPERLINK("obsidian://open?vault=o2&amp;file=AA%20Clich%C3%A9s.md","AA Clichés")</f>
        <v>AA Clichés</v>
      </c>
      <c r="L839" s="20" t="s">
        <v>175</v>
      </c>
      <c r="M839" s="4"/>
      <c r="N839" s="2" t="s">
        <v>133</v>
      </c>
      <c r="O839" s="2"/>
      <c r="P839" s="4">
        <v>1</v>
      </c>
      <c r="Q839" s="2" t="s">
        <v>2693</v>
      </c>
      <c r="R839" s="11">
        <f>SUBTOTAL(3,_xlfn.SINGLE(tbl_file[RowId]))</f>
        <v>1</v>
      </c>
    </row>
    <row r="840" spans="10:18">
      <c r="J840" s="4">
        <v>459</v>
      </c>
      <c r="K840" s="21" t="str">
        <f>HYPERLINK("obsidian://open?vault=o2&amp;file=AA%20Sayings%20and%20One-Liners.md","AA Sayings and One-Liners")</f>
        <v>AA Sayings and One-Liners</v>
      </c>
      <c r="L840" s="20" t="s">
        <v>175</v>
      </c>
      <c r="M840" s="4"/>
      <c r="N840" s="2" t="s">
        <v>133</v>
      </c>
      <c r="O840" s="2"/>
      <c r="P840" s="4">
        <v>1</v>
      </c>
      <c r="Q840" s="2" t="s">
        <v>2693</v>
      </c>
      <c r="R840" s="11">
        <f>SUBTOTAL(3,_xlfn.SINGLE(tbl_file[RowId]))</f>
        <v>1</v>
      </c>
    </row>
    <row r="841" spans="10:18">
      <c r="J841" s="4">
        <v>460</v>
      </c>
      <c r="K841" s="21" t="str">
        <f>HYPERLINK("obsidian://open?vault=o2&amp;file=AA%20Take%20Us%20Out.md","AA Take Us Out")</f>
        <v>AA Take Us Out</v>
      </c>
      <c r="L841" s="20" t="s">
        <v>175</v>
      </c>
      <c r="M841" s="4"/>
      <c r="N841" s="2" t="s">
        <v>133</v>
      </c>
      <c r="O841" s="2"/>
      <c r="P841" s="4">
        <v>1</v>
      </c>
      <c r="Q841" s="2" t="s">
        <v>2693</v>
      </c>
      <c r="R841" s="11">
        <f>SUBTOTAL(3,_xlfn.SINGLE(tbl_file[RowId]))</f>
        <v>1</v>
      </c>
    </row>
    <row r="842" spans="10:18">
      <c r="J842" s="4">
        <v>368</v>
      </c>
      <c r="K842" s="21" t="str">
        <f>HYPERLINK("obsidian://open?vault=o2&amp;file=Additional%20Prayers%20and%20Meditations.md","Additional Prayers and Meditations")</f>
        <v>Additional Prayers and Meditations</v>
      </c>
      <c r="L842" s="20" t="s">
        <v>175</v>
      </c>
      <c r="M842" s="4"/>
      <c r="N842" s="2" t="s">
        <v>50</v>
      </c>
      <c r="O842" s="2"/>
      <c r="P842" s="4">
        <v>2</v>
      </c>
      <c r="Q842" s="2" t="s">
        <v>2671</v>
      </c>
      <c r="R842" s="11">
        <f>SUBTOTAL(3,_xlfn.SINGLE(tbl_file[RowId]))</f>
        <v>1</v>
      </c>
    </row>
    <row r="843" spans="10:18">
      <c r="J843" s="4">
        <v>369</v>
      </c>
      <c r="K843" s="21" t="str">
        <f>HYPERLINK("obsidian://open?vault=o2&amp;file=Additional%20Prayers%20and%20Meditations.md","Additional Prayers and Meditations")</f>
        <v>Additional Prayers and Meditations</v>
      </c>
      <c r="L843" s="20" t="s">
        <v>175</v>
      </c>
      <c r="M843" s="4"/>
      <c r="N843" s="2" t="s">
        <v>127</v>
      </c>
      <c r="O843" s="2"/>
      <c r="P843" s="4">
        <v>1</v>
      </c>
      <c r="Q843" s="2" t="s">
        <v>1958</v>
      </c>
      <c r="R843" s="11">
        <f>SUBTOTAL(3,_xlfn.SINGLE(tbl_file[RowId]))</f>
        <v>1</v>
      </c>
    </row>
    <row r="844" spans="10:18">
      <c r="J844" s="4">
        <v>370</v>
      </c>
      <c r="K844" s="21" t="str">
        <f>HYPERLINK("obsidian://open?vault=o2&amp;file=Additional%20Prayers%20and%20Meditations.md","Additional Prayers and Meditations")</f>
        <v>Additional Prayers and Meditations</v>
      </c>
      <c r="L844" s="20" t="s">
        <v>175</v>
      </c>
      <c r="M844" s="4"/>
      <c r="N844" s="2" t="s">
        <v>2606</v>
      </c>
      <c r="O844" s="2"/>
      <c r="P844" s="4">
        <v>3</v>
      </c>
      <c r="Q844" s="2" t="s">
        <v>2673</v>
      </c>
      <c r="R844" s="11">
        <f>SUBTOTAL(3,_xlfn.SINGLE(tbl_file[RowId]))</f>
        <v>1</v>
      </c>
    </row>
    <row r="845" spans="10:18">
      <c r="J845" s="4">
        <v>371</v>
      </c>
      <c r="K845" s="21" t="str">
        <f>HYPERLINK("obsidian://open?vault=o2&amp;file=Additional%20Prayers%20and%20Meditations.md","Additional Prayers and Meditations")</f>
        <v>Additional Prayers and Meditations</v>
      </c>
      <c r="L845" s="20" t="s">
        <v>175</v>
      </c>
      <c r="M845" s="4"/>
      <c r="N845" s="2" t="s">
        <v>133</v>
      </c>
      <c r="O845" s="2"/>
      <c r="P845" s="4">
        <v>1</v>
      </c>
      <c r="Q845" s="2" t="s">
        <v>2111</v>
      </c>
      <c r="R845" s="11">
        <f>SUBTOTAL(3,_xlfn.SINGLE(tbl_file[RowId]))</f>
        <v>1</v>
      </c>
    </row>
    <row r="846" spans="10:18">
      <c r="J846" s="4">
        <v>108</v>
      </c>
      <c r="K846" s="21" t="str">
        <f t="shared" ref="K846:K851" si="11">HYPERLINK("obsidian://open?vault=o2&amp;file=Advanced%20regular%20expression%20features%20to%20match%20Markdown%20links.md","Advanced regular expression features to match Markdown links")</f>
        <v>Advanced regular expression features to match Markdown links</v>
      </c>
      <c r="L846" s="20" t="s">
        <v>175</v>
      </c>
      <c r="M846" s="4"/>
      <c r="N846" s="2" t="s">
        <v>118</v>
      </c>
      <c r="O846" s="2"/>
      <c r="P846" s="4">
        <v>1</v>
      </c>
      <c r="Q846" s="2" t="s">
        <v>1641</v>
      </c>
      <c r="R846" s="11">
        <f>SUBTOTAL(3,_xlfn.SINGLE(tbl_file[RowId]))</f>
        <v>1</v>
      </c>
    </row>
    <row r="847" spans="10:18">
      <c r="J847" s="4">
        <v>109</v>
      </c>
      <c r="K847" s="21" t="str">
        <f t="shared" si="11"/>
        <v>Advanced regular expression features to match Markdown links</v>
      </c>
      <c r="L847" s="20" t="s">
        <v>175</v>
      </c>
      <c r="M847" s="4"/>
      <c r="N847" s="2" t="s">
        <v>123</v>
      </c>
      <c r="O847" s="2"/>
      <c r="P847" s="4">
        <v>1</v>
      </c>
      <c r="Q847" s="2" t="s">
        <v>1564</v>
      </c>
      <c r="R847" s="11">
        <f>SUBTOTAL(3,_xlfn.SINGLE(tbl_file[RowId]))</f>
        <v>1</v>
      </c>
    </row>
    <row r="848" spans="10:18">
      <c r="J848" s="4">
        <v>110</v>
      </c>
      <c r="K848" s="21" t="str">
        <f t="shared" si="11"/>
        <v>Advanced regular expression features to match Markdown links</v>
      </c>
      <c r="L848" s="20" t="s">
        <v>175</v>
      </c>
      <c r="M848" s="4"/>
      <c r="N848" s="2" t="s">
        <v>127</v>
      </c>
      <c r="O848" s="2"/>
      <c r="P848" s="4">
        <v>1</v>
      </c>
      <c r="Q848" s="2" t="s">
        <v>1956</v>
      </c>
      <c r="R848" s="11">
        <f>SUBTOTAL(3,_xlfn.SINGLE(tbl_file[RowId]))</f>
        <v>1</v>
      </c>
    </row>
    <row r="849" spans="10:18">
      <c r="J849" s="4">
        <v>111</v>
      </c>
      <c r="K849" s="21" t="str">
        <f t="shared" si="11"/>
        <v>Advanced regular expression features to match Markdown links</v>
      </c>
      <c r="L849" s="20" t="s">
        <v>175</v>
      </c>
      <c r="M849" s="4"/>
      <c r="N849" s="2" t="s">
        <v>2606</v>
      </c>
      <c r="O849" s="2"/>
      <c r="P849" s="4">
        <v>1</v>
      </c>
      <c r="Q849" s="2" t="s">
        <v>2416</v>
      </c>
      <c r="R849" s="11">
        <f>SUBTOTAL(3,_xlfn.SINGLE(tbl_file[RowId]))</f>
        <v>1</v>
      </c>
    </row>
    <row r="850" spans="10:18">
      <c r="J850" s="4">
        <v>112</v>
      </c>
      <c r="K850" s="21" t="str">
        <f t="shared" si="11"/>
        <v>Advanced regular expression features to match Markdown links</v>
      </c>
      <c r="L850" s="20" t="s">
        <v>175</v>
      </c>
      <c r="M850" s="4"/>
      <c r="N850" s="2" t="s">
        <v>133</v>
      </c>
      <c r="O850" s="2"/>
      <c r="P850" s="4">
        <v>1</v>
      </c>
      <c r="Q850" s="2" t="s">
        <v>2113</v>
      </c>
      <c r="R850" s="11">
        <f>SUBTOTAL(3,_xlfn.SINGLE(tbl_file[RowId]))</f>
        <v>1</v>
      </c>
    </row>
    <row r="851" spans="10:18">
      <c r="J851" s="4">
        <v>113</v>
      </c>
      <c r="K851" s="21" t="str">
        <f t="shared" si="11"/>
        <v>Advanced regular expression features to match Markdown links</v>
      </c>
      <c r="L851" s="20" t="s">
        <v>175</v>
      </c>
      <c r="M851" s="4" t="s">
        <v>2626</v>
      </c>
      <c r="N851" s="2" t="s">
        <v>2606</v>
      </c>
      <c r="O851" s="2"/>
      <c r="P851" s="4">
        <v>3</v>
      </c>
      <c r="Q851" s="2" t="s">
        <v>2633</v>
      </c>
      <c r="R851" s="11">
        <f>SUBTOTAL(3,_xlfn.SINGLE(tbl_file[RowId]))</f>
        <v>1</v>
      </c>
    </row>
    <row r="852" spans="10:18">
      <c r="J852" s="4">
        <v>953</v>
      </c>
      <c r="K852" s="21" t="str">
        <f>HYPERLINK("obsidian://open?vault=o2&amp;file=Amazon%E2%80%99s%20Satellite%20Internet%20Won%E2%80%99t%20Need%20a%20Giant%20Antenna.md","Amazon’s Satellite Internet Won’t Need a Giant Antenna")</f>
        <v>Amazon’s Satellite Internet Won’t Need a Giant Antenna</v>
      </c>
      <c r="L852" s="20" t="s">
        <v>175</v>
      </c>
      <c r="M852" s="4"/>
      <c r="N852" s="2" t="s">
        <v>33</v>
      </c>
      <c r="O852" s="2"/>
      <c r="P852" s="4">
        <v>1</v>
      </c>
      <c r="Q852" s="2" t="s">
        <v>471</v>
      </c>
      <c r="R852" s="11">
        <f>SUBTOTAL(3,_xlfn.SINGLE(tbl_file[RowId]))</f>
        <v>1</v>
      </c>
    </row>
    <row r="853" spans="10:18">
      <c r="J853" s="4">
        <v>954</v>
      </c>
      <c r="K853" s="21" t="str">
        <f>HYPERLINK("obsidian://open?vault=o2&amp;file=Amazon%E2%80%99s%20Satellite%20Internet%20Won%E2%80%99t%20Need%20a%20Giant%20Antenna.md","Amazon’s Satellite Internet Won’t Need a Giant Antenna")</f>
        <v>Amazon’s Satellite Internet Won’t Need a Giant Antenna</v>
      </c>
      <c r="L853" s="20" t="s">
        <v>175</v>
      </c>
      <c r="M853" s="4"/>
      <c r="N853" s="2" t="s">
        <v>46</v>
      </c>
      <c r="O853" s="2"/>
      <c r="P853" s="4">
        <v>1</v>
      </c>
      <c r="Q853" s="2" t="s">
        <v>643</v>
      </c>
      <c r="R853" s="11">
        <f>SUBTOTAL(3,_xlfn.SINGLE(tbl_file[RowId]))</f>
        <v>1</v>
      </c>
    </row>
    <row r="854" spans="10:18">
      <c r="J854" s="4">
        <v>955</v>
      </c>
      <c r="K854" s="21" t="str">
        <f>HYPERLINK("obsidian://open?vault=o2&amp;file=Amazon%E2%80%99s%20Satellite%20Internet%20Won%E2%80%99t%20Need%20a%20Giant%20Antenna.md","Amazon’s Satellite Internet Won’t Need a Giant Antenna")</f>
        <v>Amazon’s Satellite Internet Won’t Need a Giant Antenna</v>
      </c>
      <c r="L854" s="20" t="s">
        <v>175</v>
      </c>
      <c r="M854" s="4"/>
      <c r="N854" s="2" t="s">
        <v>132</v>
      </c>
      <c r="O854" s="2"/>
      <c r="P854" s="4">
        <v>1</v>
      </c>
      <c r="Q854" s="2" t="s">
        <v>2032</v>
      </c>
      <c r="R854" s="11">
        <f>SUBTOTAL(3,_xlfn.SINGLE(tbl_file[RowId]))</f>
        <v>1</v>
      </c>
    </row>
    <row r="855" spans="10:18">
      <c r="J855" s="4">
        <v>956</v>
      </c>
      <c r="K855" s="21" t="str">
        <f>HYPERLINK("obsidian://open?vault=o2&amp;file=Amazon%E2%80%99s%20Satellite%20Internet%20Won%E2%80%99t%20Need%20a%20Giant%20Antenna.md","Amazon’s Satellite Internet Won’t Need a Giant Antenna")</f>
        <v>Amazon’s Satellite Internet Won’t Need a Giant Antenna</v>
      </c>
      <c r="L855" s="20" t="s">
        <v>175</v>
      </c>
      <c r="M855" s="4"/>
      <c r="N855" s="2" t="s">
        <v>137</v>
      </c>
      <c r="O855" s="2"/>
      <c r="P855" s="4">
        <v>1</v>
      </c>
      <c r="Q855" s="2" t="s">
        <v>2197</v>
      </c>
      <c r="R855" s="11">
        <f>SUBTOTAL(3,_xlfn.SINGLE(tbl_file[RowId]))</f>
        <v>1</v>
      </c>
    </row>
    <row r="856" spans="10:18">
      <c r="J856" s="4">
        <v>957</v>
      </c>
      <c r="K856" s="21" t="str">
        <f>HYPERLINK("obsidian://open?vault=o2&amp;file=Amazon%E2%80%99s%20Satellite%20Internet%20Won%E2%80%99t%20Need%20a%20Giant%20Antenna.md","Amazon’s Satellite Internet Won’t Need a Giant Antenna")</f>
        <v>Amazon’s Satellite Internet Won’t Need a Giant Antenna</v>
      </c>
      <c r="L856" s="20" t="s">
        <v>175</v>
      </c>
      <c r="M856" s="4" t="s">
        <v>2626</v>
      </c>
      <c r="N856" s="2" t="s">
        <v>2606</v>
      </c>
      <c r="O856" s="2"/>
      <c r="P856" s="4">
        <v>1</v>
      </c>
      <c r="Q856" s="2" t="s">
        <v>2537</v>
      </c>
      <c r="R856" s="11">
        <f>SUBTOTAL(3,_xlfn.SINGLE(tbl_file[RowId]))</f>
        <v>1</v>
      </c>
    </row>
    <row r="857" spans="10:18">
      <c r="J857" s="4">
        <v>1893</v>
      </c>
      <c r="K857" s="21" t="str">
        <f>HYPERLINK("obsidian://open?vault=o2&amp;file=Applying%20information.md","Applying information")</f>
        <v>Applying information</v>
      </c>
      <c r="L857" s="20" t="s">
        <v>175</v>
      </c>
      <c r="M857" s="4"/>
      <c r="N857" s="2" t="s">
        <v>50</v>
      </c>
      <c r="O857" s="2"/>
      <c r="P857" s="4">
        <v>1</v>
      </c>
      <c r="Q857" s="2" t="s">
        <v>1444</v>
      </c>
      <c r="R857" s="11">
        <f>SUBTOTAL(3,_xlfn.SINGLE(tbl_file[RowId]))</f>
        <v>1</v>
      </c>
    </row>
    <row r="858" spans="10:18">
      <c r="J858" s="4">
        <v>573</v>
      </c>
      <c r="K858" s="21" t="str">
        <f t="shared" ref="K858:K865" si="12">HYPERLINK("obsidian://open?vault=o2&amp;file=Architects%205%20Step%20Desk%20Setup%20Makeover.md","Architects 5 Step Desk Setup Makeover")</f>
        <v>Architects 5 Step Desk Setup Makeover</v>
      </c>
      <c r="L858" s="20" t="s">
        <v>175</v>
      </c>
      <c r="M858" s="4"/>
      <c r="N858" s="2" t="s">
        <v>13</v>
      </c>
      <c r="O858" s="2"/>
      <c r="P858" s="4">
        <v>1</v>
      </c>
      <c r="Q858" s="2" t="s">
        <v>294</v>
      </c>
      <c r="R858" s="11">
        <f>SUBTOTAL(3,_xlfn.SINGLE(tbl_file[RowId]))</f>
        <v>1</v>
      </c>
    </row>
    <row r="859" spans="10:18">
      <c r="J859" s="4">
        <v>574</v>
      </c>
      <c r="K859" s="21" t="str">
        <f t="shared" si="12"/>
        <v>Architects 5 Step Desk Setup Makeover</v>
      </c>
      <c r="L859" s="20" t="s">
        <v>175</v>
      </c>
      <c r="M859" s="4"/>
      <c r="N859" s="2" t="s">
        <v>16</v>
      </c>
      <c r="O859" s="2"/>
      <c r="P859" s="4">
        <v>1</v>
      </c>
      <c r="Q859" s="2" t="s">
        <v>294</v>
      </c>
      <c r="R859" s="11">
        <f>SUBTOTAL(3,_xlfn.SINGLE(tbl_file[RowId]))</f>
        <v>1</v>
      </c>
    </row>
    <row r="860" spans="10:18">
      <c r="J860" s="4">
        <v>575</v>
      </c>
      <c r="K860" s="21" t="str">
        <f t="shared" si="12"/>
        <v>Architects 5 Step Desk Setup Makeover</v>
      </c>
      <c r="L860" s="20" t="s">
        <v>175</v>
      </c>
      <c r="M860" s="4"/>
      <c r="N860" s="2" t="s">
        <v>37</v>
      </c>
      <c r="O860" s="2"/>
      <c r="P860" s="4">
        <v>1</v>
      </c>
      <c r="Q860" s="2" t="s">
        <v>595</v>
      </c>
      <c r="R860" s="11">
        <f>SUBTOTAL(3,_xlfn.SINGLE(tbl_file[RowId]))</f>
        <v>1</v>
      </c>
    </row>
    <row r="861" spans="10:18">
      <c r="J861" s="4">
        <v>576</v>
      </c>
      <c r="K861" s="21" t="str">
        <f t="shared" si="12"/>
        <v>Architects 5 Step Desk Setup Makeover</v>
      </c>
      <c r="L861" s="20" t="s">
        <v>175</v>
      </c>
      <c r="M861" s="4"/>
      <c r="N861" s="2" t="s">
        <v>119</v>
      </c>
      <c r="O861" s="2"/>
      <c r="P861" s="4">
        <v>1</v>
      </c>
      <c r="Q861" s="2" t="s">
        <v>2718</v>
      </c>
      <c r="R861" s="11">
        <f>SUBTOTAL(3,_xlfn.SINGLE(tbl_file[RowId]))</f>
        <v>1</v>
      </c>
    </row>
    <row r="862" spans="10:18">
      <c r="J862" s="4">
        <v>577</v>
      </c>
      <c r="K862" s="21" t="str">
        <f t="shared" si="12"/>
        <v>Architects 5 Step Desk Setup Makeover</v>
      </c>
      <c r="L862" s="20" t="s">
        <v>175</v>
      </c>
      <c r="M862" s="4"/>
      <c r="N862" s="2" t="s">
        <v>121</v>
      </c>
      <c r="O862" s="2"/>
      <c r="P862" s="4">
        <v>1</v>
      </c>
      <c r="Q862" s="2" t="s">
        <v>1849</v>
      </c>
      <c r="R862" s="11">
        <f>SUBTOTAL(3,_xlfn.SINGLE(tbl_file[RowId]))</f>
        <v>1</v>
      </c>
    </row>
    <row r="863" spans="10:18">
      <c r="J863" s="4">
        <v>578</v>
      </c>
      <c r="K863" s="21" t="str">
        <f t="shared" si="12"/>
        <v>Architects 5 Step Desk Setup Makeover</v>
      </c>
      <c r="L863" s="20" t="s">
        <v>175</v>
      </c>
      <c r="M863" s="4"/>
      <c r="N863" s="2" t="s">
        <v>126</v>
      </c>
      <c r="O863" s="2"/>
      <c r="P863" s="4">
        <v>1</v>
      </c>
      <c r="Q863" s="2" t="s">
        <v>2719</v>
      </c>
      <c r="R863" s="11">
        <f>SUBTOTAL(3,_xlfn.SINGLE(tbl_file[RowId]))</f>
        <v>1</v>
      </c>
    </row>
    <row r="864" spans="10:18">
      <c r="J864" s="4">
        <v>579</v>
      </c>
      <c r="K864" s="21" t="str">
        <f t="shared" si="12"/>
        <v>Architects 5 Step Desk Setup Makeover</v>
      </c>
      <c r="L864" s="20" t="s">
        <v>175</v>
      </c>
      <c r="M864" s="4"/>
      <c r="N864" s="2" t="s">
        <v>127</v>
      </c>
      <c r="O864" s="2"/>
      <c r="P864" s="4">
        <v>1</v>
      </c>
      <c r="Q864" s="2" t="s">
        <v>1970</v>
      </c>
      <c r="R864" s="11">
        <f>SUBTOTAL(3,_xlfn.SINGLE(tbl_file[RowId]))</f>
        <v>1</v>
      </c>
    </row>
    <row r="865" spans="10:18">
      <c r="J865" s="4">
        <v>580</v>
      </c>
      <c r="K865" s="21" t="str">
        <f t="shared" si="12"/>
        <v>Architects 5 Step Desk Setup Makeover</v>
      </c>
      <c r="L865" s="20" t="s">
        <v>175</v>
      </c>
      <c r="M865" s="4"/>
      <c r="N865" s="2" t="s">
        <v>2606</v>
      </c>
      <c r="O865" s="2"/>
      <c r="P865" s="4">
        <v>1</v>
      </c>
      <c r="Q865" s="2" t="s">
        <v>2377</v>
      </c>
      <c r="R865" s="11">
        <f>SUBTOTAL(3,_xlfn.SINGLE(tbl_file[RowId]))</f>
        <v>1</v>
      </c>
    </row>
    <row r="866" spans="10:18">
      <c r="J866" s="4">
        <v>2446</v>
      </c>
      <c r="K866" s="21" t="str">
        <f>HYPERLINK("obsidian://open?vault=o2&amp;file=Area%20Template.md","Area Template")</f>
        <v>Area Template</v>
      </c>
      <c r="L866" s="20" t="s">
        <v>175</v>
      </c>
      <c r="M866" s="4"/>
      <c r="N866" s="2" t="s">
        <v>23</v>
      </c>
      <c r="O866" s="2" t="s">
        <v>3183</v>
      </c>
      <c r="P866" s="4">
        <v>1</v>
      </c>
      <c r="Q866" s="2" t="s">
        <v>420</v>
      </c>
      <c r="R866" s="11">
        <f>SUBTOTAL(3,_xlfn.SINGLE(tbl_file[RowId]))</f>
        <v>1</v>
      </c>
    </row>
    <row r="867" spans="10:18">
      <c r="J867" s="4">
        <v>2447</v>
      </c>
      <c r="K867" s="21" t="str">
        <f>HYPERLINK("obsidian://open?vault=o2&amp;file=Area%20Template.md","Area Template")</f>
        <v>Area Template</v>
      </c>
      <c r="L867" s="20" t="s">
        <v>175</v>
      </c>
      <c r="M867" s="4"/>
      <c r="N867" s="2" t="s">
        <v>50</v>
      </c>
      <c r="O867" s="2"/>
      <c r="P867" s="4">
        <v>1</v>
      </c>
      <c r="Q867" s="2" t="s">
        <v>1596</v>
      </c>
      <c r="R867" s="11">
        <f>SUBTOTAL(3,_xlfn.SINGLE(tbl_file[RowId]))</f>
        <v>1</v>
      </c>
    </row>
    <row r="868" spans="10:18">
      <c r="J868" s="4">
        <v>2448</v>
      </c>
      <c r="K868" s="21" t="str">
        <f>HYPERLINK("obsidian://open?vault=o2&amp;file=Area%20Template.md","Area Template")</f>
        <v>Area Template</v>
      </c>
      <c r="L868" s="20" t="s">
        <v>175</v>
      </c>
      <c r="M868" s="4"/>
      <c r="N868" s="2" t="s">
        <v>2606</v>
      </c>
      <c r="O868" s="2"/>
      <c r="P868" s="4">
        <v>3</v>
      </c>
      <c r="Q868" s="2" t="s">
        <v>3184</v>
      </c>
      <c r="R868" s="11">
        <f>SUBTOTAL(3,_xlfn.SINGLE(tbl_file[RowId]))</f>
        <v>1</v>
      </c>
    </row>
    <row r="869" spans="10:18">
      <c r="J869" s="4">
        <v>2449</v>
      </c>
      <c r="K869" s="21" t="str">
        <f>HYPERLINK("obsidian://open?vault=o2&amp;file=Area%20Template.md","Area Template")</f>
        <v>Area Template</v>
      </c>
      <c r="L869" s="20" t="s">
        <v>175</v>
      </c>
      <c r="M869" s="4"/>
      <c r="N869" s="2" t="s">
        <v>133</v>
      </c>
      <c r="O869" s="2" t="s">
        <v>2637</v>
      </c>
      <c r="P869" s="4">
        <v>1</v>
      </c>
      <c r="Q869" s="2" t="s">
        <v>2107</v>
      </c>
      <c r="R869" s="11">
        <f>SUBTOTAL(3,_xlfn.SINGLE(tbl_file[RowId]))</f>
        <v>1</v>
      </c>
    </row>
    <row r="870" spans="10:18">
      <c r="J870" s="4">
        <v>1894</v>
      </c>
      <c r="K870" s="21" t="str">
        <f>HYPERLINK("obsidian://open?vault=o2&amp;file=Automatically%20move%20notes%20to%20a%20folder.md","Automatically move notes to a folder")</f>
        <v>Automatically move notes to a folder</v>
      </c>
      <c r="L870" s="20" t="s">
        <v>175</v>
      </c>
      <c r="M870" s="4"/>
      <c r="N870" s="2" t="s">
        <v>11</v>
      </c>
      <c r="O870" s="2"/>
      <c r="P870" s="4">
        <v>1</v>
      </c>
      <c r="Q870" s="2" t="s">
        <v>188</v>
      </c>
      <c r="R870" s="11">
        <f>SUBTOTAL(3,_xlfn.SINGLE(tbl_file[RowId]))</f>
        <v>1</v>
      </c>
    </row>
    <row r="871" spans="10:18">
      <c r="J871" s="4">
        <v>281</v>
      </c>
      <c r="K871" s="21" t="str">
        <f>HYPERLINK("obsidian://open?vault=o2&amp;file=Best%20qBittorrents%20Settings%20%28Plus%20Port%20Forwarder%29.md","Best qBittorrents Settings (Plus Port Forwarder)")</f>
        <v>Best qBittorrents Settings (Plus Port Forwarder)</v>
      </c>
      <c r="L871" s="20" t="s">
        <v>175</v>
      </c>
      <c r="M871" s="4"/>
      <c r="N871" s="2" t="s">
        <v>133</v>
      </c>
      <c r="O871" s="2"/>
      <c r="P871" s="4">
        <v>1</v>
      </c>
      <c r="Q871" s="2" t="s">
        <v>2622</v>
      </c>
      <c r="R871" s="11">
        <f>SUBTOTAL(3,_xlfn.SINGLE(tbl_file[RowId]))</f>
        <v>1</v>
      </c>
    </row>
    <row r="872" spans="10:18">
      <c r="J872" s="4">
        <v>282</v>
      </c>
      <c r="K872" s="21" t="str">
        <f>HYPERLINK("obsidian://open?vault=o2&amp;file=Best%20qBittorrents%20Settings%20%28Plus%20Port%20Forwarder%29.md","Best qBittorrents Settings (Plus Port Forwarder)")</f>
        <v>Best qBittorrents Settings (Plus Port Forwarder)</v>
      </c>
      <c r="L872" s="20" t="s">
        <v>175</v>
      </c>
      <c r="M872" s="4" t="s">
        <v>2626</v>
      </c>
      <c r="N872" s="2" t="s">
        <v>2606</v>
      </c>
      <c r="O872" s="2"/>
      <c r="P872" s="4">
        <v>5</v>
      </c>
      <c r="Q872" s="2" t="s">
        <v>2657</v>
      </c>
      <c r="R872" s="11">
        <f>SUBTOTAL(3,_xlfn.SINGLE(tbl_file[RowId]))</f>
        <v>1</v>
      </c>
    </row>
    <row r="873" spans="10:18">
      <c r="J873" s="4">
        <v>581</v>
      </c>
      <c r="K873" s="21" t="str">
        <f t="shared" ref="K873:K884" si="13">HYPERLINK("obsidian://open?vault=o2&amp;file=Better%20Than%20Grandmas%20Dinner%21%20My%20Parents%20Were%20Stunned%20After%20Trying%20It%21%21%21.md","Better Than Grandmas Dinner! My Parents Were Stunned After Trying It!!!")</f>
        <v>Better Than Grandmas Dinner! My Parents Were Stunned After Trying It!!!</v>
      </c>
      <c r="L873" s="20" t="s">
        <v>175</v>
      </c>
      <c r="M873" s="4"/>
      <c r="N873" s="2" t="s">
        <v>11</v>
      </c>
      <c r="O873" s="2"/>
      <c r="P873" s="4">
        <v>1</v>
      </c>
      <c r="Q873" s="2" t="s">
        <v>190</v>
      </c>
      <c r="R873" s="11">
        <f>SUBTOTAL(3,_xlfn.SINGLE(tbl_file[RowId]))</f>
        <v>1</v>
      </c>
    </row>
    <row r="874" spans="10:18">
      <c r="J874" s="4">
        <v>582</v>
      </c>
      <c r="K874" s="21" t="str">
        <f t="shared" si="13"/>
        <v>Better Than Grandmas Dinner! My Parents Were Stunned After Trying It!!!</v>
      </c>
      <c r="L874" s="20" t="s">
        <v>175</v>
      </c>
      <c r="M874" s="4"/>
      <c r="N874" s="2" t="s">
        <v>13</v>
      </c>
      <c r="O874" s="2"/>
      <c r="P874" s="4">
        <v>1</v>
      </c>
      <c r="Q874" s="2" t="s">
        <v>334</v>
      </c>
      <c r="R874" s="11">
        <f>SUBTOTAL(3,_xlfn.SINGLE(tbl_file[RowId]))</f>
        <v>1</v>
      </c>
    </row>
    <row r="875" spans="10:18">
      <c r="J875" s="4">
        <v>583</v>
      </c>
      <c r="K875" s="21" t="str">
        <f t="shared" si="13"/>
        <v>Better Than Grandmas Dinner! My Parents Were Stunned After Trying It!!!</v>
      </c>
      <c r="L875" s="20" t="s">
        <v>175</v>
      </c>
      <c r="M875" s="4"/>
      <c r="N875" s="2" t="s">
        <v>16</v>
      </c>
      <c r="O875" s="2"/>
      <c r="P875" s="4">
        <v>1</v>
      </c>
      <c r="Q875" s="2" t="s">
        <v>334</v>
      </c>
      <c r="R875" s="11">
        <f>SUBTOTAL(3,_xlfn.SINGLE(tbl_file[RowId]))</f>
        <v>1</v>
      </c>
    </row>
    <row r="876" spans="10:18">
      <c r="J876" s="4">
        <v>584</v>
      </c>
      <c r="K876" s="21" t="str">
        <f t="shared" si="13"/>
        <v>Better Than Grandmas Dinner! My Parents Were Stunned After Trying It!!!</v>
      </c>
      <c r="L876" s="20" t="s">
        <v>175</v>
      </c>
      <c r="M876" s="4"/>
      <c r="N876" s="2" t="s">
        <v>37</v>
      </c>
      <c r="O876" s="2"/>
      <c r="P876" s="4">
        <v>1</v>
      </c>
      <c r="Q876" s="2" t="s">
        <v>591</v>
      </c>
      <c r="R876" s="11">
        <f>SUBTOTAL(3,_xlfn.SINGLE(tbl_file[RowId]))</f>
        <v>1</v>
      </c>
    </row>
    <row r="877" spans="10:18">
      <c r="J877" s="4">
        <v>585</v>
      </c>
      <c r="K877" s="21" t="str">
        <f t="shared" si="13"/>
        <v>Better Than Grandmas Dinner! My Parents Were Stunned After Trying It!!!</v>
      </c>
      <c r="L877" s="20" t="s">
        <v>175</v>
      </c>
      <c r="M877" s="4"/>
      <c r="N877" s="2" t="s">
        <v>45</v>
      </c>
      <c r="O877" s="2"/>
      <c r="P877" s="4">
        <v>1</v>
      </c>
      <c r="Q877" s="2" t="s">
        <v>618</v>
      </c>
      <c r="R877" s="11">
        <f>SUBTOTAL(3,_xlfn.SINGLE(tbl_file[RowId]))</f>
        <v>1</v>
      </c>
    </row>
    <row r="878" spans="10:18">
      <c r="J878" s="4">
        <v>586</v>
      </c>
      <c r="K878" s="21" t="str">
        <f t="shared" si="13"/>
        <v>Better Than Grandmas Dinner! My Parents Were Stunned After Trying It!!!</v>
      </c>
      <c r="L878" s="20" t="s">
        <v>175</v>
      </c>
      <c r="M878" s="4"/>
      <c r="N878" s="2" t="s">
        <v>48</v>
      </c>
      <c r="O878" s="2"/>
      <c r="P878" s="4">
        <v>21</v>
      </c>
      <c r="Q878" s="2" t="s">
        <v>2720</v>
      </c>
      <c r="R878" s="11">
        <f>SUBTOTAL(3,_xlfn.SINGLE(tbl_file[RowId]))</f>
        <v>1</v>
      </c>
    </row>
    <row r="879" spans="10:18">
      <c r="J879" s="4">
        <v>587</v>
      </c>
      <c r="K879" s="21" t="str">
        <f t="shared" si="13"/>
        <v>Better Than Grandmas Dinner! My Parents Were Stunned After Trying It!!!</v>
      </c>
      <c r="L879" s="20" t="s">
        <v>175</v>
      </c>
      <c r="M879" s="4"/>
      <c r="N879" s="2" t="s">
        <v>119</v>
      </c>
      <c r="O879" s="2"/>
      <c r="P879" s="4">
        <v>1</v>
      </c>
      <c r="Q879" s="2" t="s">
        <v>2721</v>
      </c>
      <c r="R879" s="11">
        <f>SUBTOTAL(3,_xlfn.SINGLE(tbl_file[RowId]))</f>
        <v>1</v>
      </c>
    </row>
    <row r="880" spans="10:18">
      <c r="J880" s="4">
        <v>588</v>
      </c>
      <c r="K880" s="21" t="str">
        <f t="shared" si="13"/>
        <v>Better Than Grandmas Dinner! My Parents Were Stunned After Trying It!!!</v>
      </c>
      <c r="L880" s="20" t="s">
        <v>175</v>
      </c>
      <c r="M880" s="4"/>
      <c r="N880" s="2" t="s">
        <v>126</v>
      </c>
      <c r="O880" s="2"/>
      <c r="P880" s="4">
        <v>1</v>
      </c>
      <c r="Q880" s="2" t="s">
        <v>2722</v>
      </c>
      <c r="R880" s="11">
        <f>SUBTOTAL(3,_xlfn.SINGLE(tbl_file[RowId]))</f>
        <v>1</v>
      </c>
    </row>
    <row r="881" spans="10:18">
      <c r="J881" s="4">
        <v>589</v>
      </c>
      <c r="K881" s="21" t="str">
        <f t="shared" si="13"/>
        <v>Better Than Grandmas Dinner! My Parents Were Stunned After Trying It!!!</v>
      </c>
      <c r="L881" s="20" t="s">
        <v>175</v>
      </c>
      <c r="M881" s="4"/>
      <c r="N881" s="2" t="s">
        <v>131</v>
      </c>
      <c r="O881" s="2"/>
      <c r="P881" s="4">
        <v>1</v>
      </c>
      <c r="Q881" s="2" t="s">
        <v>2009</v>
      </c>
      <c r="R881" s="11">
        <f>SUBTOTAL(3,_xlfn.SINGLE(tbl_file[RowId]))</f>
        <v>1</v>
      </c>
    </row>
    <row r="882" spans="10:18">
      <c r="J882" s="4">
        <v>590</v>
      </c>
      <c r="K882" s="21" t="str">
        <f t="shared" si="13"/>
        <v>Better Than Grandmas Dinner! My Parents Were Stunned After Trying It!!!</v>
      </c>
      <c r="L882" s="20" t="s">
        <v>175</v>
      </c>
      <c r="M882" s="4"/>
      <c r="N882" s="2" t="s">
        <v>132</v>
      </c>
      <c r="O882" s="2"/>
      <c r="P882" s="4">
        <v>1</v>
      </c>
      <c r="Q882" s="2" t="s">
        <v>190</v>
      </c>
      <c r="R882" s="11">
        <f>SUBTOTAL(3,_xlfn.SINGLE(tbl_file[RowId]))</f>
        <v>1</v>
      </c>
    </row>
    <row r="883" spans="10:18">
      <c r="J883" s="4">
        <v>591</v>
      </c>
      <c r="K883" s="21" t="str">
        <f t="shared" si="13"/>
        <v>Better Than Grandmas Dinner! My Parents Were Stunned After Trying It!!!</v>
      </c>
      <c r="L883" s="20" t="s">
        <v>175</v>
      </c>
      <c r="M883" s="4"/>
      <c r="N883" s="2" t="s">
        <v>137</v>
      </c>
      <c r="O883" s="2"/>
      <c r="P883" s="4">
        <v>1</v>
      </c>
      <c r="Q883" s="2" t="s">
        <v>2239</v>
      </c>
      <c r="R883" s="11">
        <f>SUBTOTAL(3,_xlfn.SINGLE(tbl_file[RowId]))</f>
        <v>1</v>
      </c>
    </row>
    <row r="884" spans="10:18">
      <c r="J884" s="4">
        <v>592</v>
      </c>
      <c r="K884" s="21" t="str">
        <f t="shared" si="13"/>
        <v>Better Than Grandmas Dinner! My Parents Were Stunned After Trying It!!!</v>
      </c>
      <c r="L884" s="20" t="s">
        <v>175</v>
      </c>
      <c r="M884" s="4" t="s">
        <v>2626</v>
      </c>
      <c r="N884" s="2" t="s">
        <v>2606</v>
      </c>
      <c r="O884" s="2"/>
      <c r="P884" s="4">
        <v>1</v>
      </c>
      <c r="Q884" s="2" t="s">
        <v>2371</v>
      </c>
      <c r="R884" s="11">
        <f>SUBTOTAL(3,_xlfn.SINGLE(tbl_file[RowId]))</f>
        <v>1</v>
      </c>
    </row>
    <row r="885" spans="10:18">
      <c r="J885" s="4">
        <v>461</v>
      </c>
      <c r="K885" s="21" t="str">
        <f>HYPERLINK("obsidian://open?vault=o2&amp;file=Bike%20Donations%20Flyer.md","Bike Donations Flyer")</f>
        <v>Bike Donations Flyer</v>
      </c>
      <c r="L885" s="20" t="s">
        <v>175</v>
      </c>
      <c r="M885" s="4"/>
      <c r="N885" s="2" t="s">
        <v>2606</v>
      </c>
      <c r="O885" s="2"/>
      <c r="P885" s="4">
        <v>4</v>
      </c>
      <c r="Q885" s="2" t="s">
        <v>2694</v>
      </c>
      <c r="R885" s="11">
        <f>SUBTOTAL(3,_xlfn.SINGLE(tbl_file[RowId]))</f>
        <v>1</v>
      </c>
    </row>
    <row r="886" spans="10:18">
      <c r="J886" s="4">
        <v>462</v>
      </c>
      <c r="K886" s="21" t="str">
        <f>HYPERLINK("obsidian://open?vault=o2&amp;file=Bike%20Donations%20Flyer.md","Bike Donations Flyer")</f>
        <v>Bike Donations Flyer</v>
      </c>
      <c r="L886" s="20" t="s">
        <v>175</v>
      </c>
      <c r="M886" s="4"/>
      <c r="N886" s="2" t="s">
        <v>133</v>
      </c>
      <c r="O886" s="2"/>
      <c r="P886" s="4">
        <v>1</v>
      </c>
      <c r="Q886" s="2" t="s">
        <v>2693</v>
      </c>
      <c r="R886" s="11">
        <f>SUBTOTAL(3,_xlfn.SINGLE(tbl_file[RowId]))</f>
        <v>1</v>
      </c>
    </row>
    <row r="887" spans="10:18">
      <c r="J887" s="4">
        <v>1251</v>
      </c>
      <c r="K887" s="21" t="str">
        <f>HYPERLINK("obsidian://open?vault=o2&amp;file=BIOS%20Setup%20Notes.md","BIOS Setup Notes")</f>
        <v>BIOS Setup Notes</v>
      </c>
      <c r="L887" s="20" t="s">
        <v>175</v>
      </c>
      <c r="M887" s="4"/>
      <c r="N887" s="2" t="s">
        <v>50</v>
      </c>
      <c r="O887" s="2"/>
      <c r="P887" s="4">
        <v>1</v>
      </c>
      <c r="Q887" s="2" t="s">
        <v>1540</v>
      </c>
      <c r="R887" s="11">
        <f>SUBTOTAL(3,_xlfn.SINGLE(tbl_file[RowId]))</f>
        <v>1</v>
      </c>
    </row>
    <row r="888" spans="10:18">
      <c r="J888" s="4">
        <v>1252</v>
      </c>
      <c r="K888" s="21" t="str">
        <f>HYPERLINK("obsidian://open?vault=o2&amp;file=BIOS%20Setup%20Notes.md","BIOS Setup Notes")</f>
        <v>BIOS Setup Notes</v>
      </c>
      <c r="L888" s="20" t="s">
        <v>175</v>
      </c>
      <c r="M888" s="4"/>
      <c r="N888" s="2" t="s">
        <v>127</v>
      </c>
      <c r="O888" s="2"/>
      <c r="P888" s="4">
        <v>1</v>
      </c>
      <c r="Q888" s="2" t="s">
        <v>1958</v>
      </c>
      <c r="R888" s="11">
        <f>SUBTOTAL(3,_xlfn.SINGLE(tbl_file[RowId]))</f>
        <v>1</v>
      </c>
    </row>
    <row r="889" spans="10:18">
      <c r="J889" s="4">
        <v>1253</v>
      </c>
      <c r="K889" s="21" t="str">
        <f>HYPERLINK("obsidian://open?vault=o2&amp;file=BIOS%20Setup%20Notes.md","BIOS Setup Notes")</f>
        <v>BIOS Setup Notes</v>
      </c>
      <c r="L889" s="20" t="s">
        <v>175</v>
      </c>
      <c r="M889" s="4"/>
      <c r="N889" s="2" t="s">
        <v>2606</v>
      </c>
      <c r="O889" s="2"/>
      <c r="P889" s="4">
        <v>4</v>
      </c>
      <c r="Q889" s="2" t="s">
        <v>2668</v>
      </c>
      <c r="R889" s="11">
        <f>SUBTOTAL(3,_xlfn.SINGLE(tbl_file[RowId]))</f>
        <v>1</v>
      </c>
    </row>
    <row r="890" spans="10:18">
      <c r="J890" s="4">
        <v>1254</v>
      </c>
      <c r="K890" s="21" t="str">
        <f>HYPERLINK("obsidian://open?vault=o2&amp;file=BIOS%20Setup%20Notes.md","BIOS Setup Notes")</f>
        <v>BIOS Setup Notes</v>
      </c>
      <c r="L890" s="20" t="s">
        <v>175</v>
      </c>
      <c r="M890" s="4"/>
      <c r="N890" s="2" t="s">
        <v>133</v>
      </c>
      <c r="O890" s="2"/>
      <c r="P890" s="4">
        <v>1</v>
      </c>
      <c r="Q890" s="2" t="s">
        <v>2614</v>
      </c>
      <c r="R890" s="11">
        <f>SUBTOTAL(3,_xlfn.SINGLE(tbl_file[RowId]))</f>
        <v>1</v>
      </c>
    </row>
    <row r="891" spans="10:18">
      <c r="J891" s="4">
        <v>1895</v>
      </c>
      <c r="K891" s="21" t="str">
        <f>HYPERLINK("obsidian://open?vault=o2&amp;file=BISAC%20Book%20Classifications.md","BISAC Book Classifications")</f>
        <v>BISAC Book Classifications</v>
      </c>
      <c r="L891" s="20" t="s">
        <v>175</v>
      </c>
      <c r="M891" s="4"/>
      <c r="N891" s="2" t="s">
        <v>50</v>
      </c>
      <c r="O891" s="2"/>
      <c r="P891" s="4">
        <v>1</v>
      </c>
      <c r="Q891" s="2" t="s">
        <v>1436</v>
      </c>
      <c r="R891" s="11">
        <f>SUBTOTAL(3,_xlfn.SINGLE(tbl_file[RowId]))</f>
        <v>1</v>
      </c>
    </row>
    <row r="892" spans="10:18">
      <c r="J892" s="4">
        <v>1896</v>
      </c>
      <c r="K892" s="21" t="str">
        <f>HYPERLINK("obsidian://open?vault=o2&amp;file=BISAC%20Book%20Classifications.md","BISAC Book Classifications")</f>
        <v>BISAC Book Classifications</v>
      </c>
      <c r="L892" s="20" t="s">
        <v>175</v>
      </c>
      <c r="M892" s="4"/>
      <c r="N892" s="2" t="s">
        <v>127</v>
      </c>
      <c r="O892" s="2"/>
      <c r="P892" s="4">
        <v>1</v>
      </c>
      <c r="Q892" s="2" t="s">
        <v>1968</v>
      </c>
      <c r="R892" s="11">
        <f>SUBTOTAL(3,_xlfn.SINGLE(tbl_file[RowId]))</f>
        <v>1</v>
      </c>
    </row>
    <row r="893" spans="10:18">
      <c r="J893" s="4">
        <v>1897</v>
      </c>
      <c r="K893" s="21" t="str">
        <f>HYPERLINK("obsidian://open?vault=o2&amp;file=BISAC%20Book%20Classifications.md","BISAC Book Classifications")</f>
        <v>BISAC Book Classifications</v>
      </c>
      <c r="L893" s="20" t="s">
        <v>175</v>
      </c>
      <c r="M893" s="4"/>
      <c r="N893" s="2" t="s">
        <v>2606</v>
      </c>
      <c r="O893" s="2"/>
      <c r="P893" s="4">
        <v>6</v>
      </c>
      <c r="Q893" s="2" t="s">
        <v>3082</v>
      </c>
      <c r="R893" s="11">
        <f>SUBTOTAL(3,_xlfn.SINGLE(tbl_file[RowId]))</f>
        <v>1</v>
      </c>
    </row>
    <row r="894" spans="10:18">
      <c r="J894" s="4">
        <v>1898</v>
      </c>
      <c r="K894" s="21" t="str">
        <f>HYPERLINK("obsidian://open?vault=o2&amp;file=Bletchley%20Park%20interviews%20with%20IJ%20Good%20and%20Mickey.md","Bletchley Park interviews with IJ Good and Mickey")</f>
        <v>Bletchley Park interviews with IJ Good and Mickey</v>
      </c>
      <c r="L894" s="20" t="s">
        <v>175</v>
      </c>
      <c r="M894" s="4"/>
      <c r="N894" s="2" t="s">
        <v>50</v>
      </c>
      <c r="O894" s="2"/>
      <c r="P894" s="4">
        <v>1</v>
      </c>
      <c r="Q894" s="2" t="s">
        <v>1446</v>
      </c>
      <c r="R894" s="11">
        <f>SUBTOTAL(3,_xlfn.SINGLE(tbl_file[RowId]))</f>
        <v>1</v>
      </c>
    </row>
    <row r="895" spans="10:18">
      <c r="J895" s="4">
        <v>1899</v>
      </c>
      <c r="K895" s="21" t="str">
        <f>HYPERLINK("obsidian://open?vault=o2&amp;file=Bletchley%20Park%20interviews%20with%20IJ%20Good%20and%20Mickey.md","Bletchley Park interviews with IJ Good and Mickey")</f>
        <v>Bletchley Park interviews with IJ Good and Mickey</v>
      </c>
      <c r="L895" s="20" t="s">
        <v>175</v>
      </c>
      <c r="M895" s="4"/>
      <c r="N895" s="2" t="s">
        <v>127</v>
      </c>
      <c r="O895" s="2"/>
      <c r="P895" s="4">
        <v>1</v>
      </c>
      <c r="Q895" s="2" t="s">
        <v>1934</v>
      </c>
      <c r="R895" s="11">
        <f>SUBTOTAL(3,_xlfn.SINGLE(tbl_file[RowId]))</f>
        <v>1</v>
      </c>
    </row>
    <row r="896" spans="10:18">
      <c r="J896" s="4">
        <v>1900</v>
      </c>
      <c r="K896" s="21" t="str">
        <f>HYPERLINK("obsidian://open?vault=o2&amp;file=Bletchley%20Park%20interviews%20with%20IJ%20Good%20and%20Mickey.md","Bletchley Park interviews with IJ Good and Mickey")</f>
        <v>Bletchley Park interviews with IJ Good and Mickey</v>
      </c>
      <c r="L896" s="20" t="s">
        <v>175</v>
      </c>
      <c r="M896" s="4"/>
      <c r="N896" s="2" t="s">
        <v>2606</v>
      </c>
      <c r="O896" s="2"/>
      <c r="P896" s="4">
        <v>4</v>
      </c>
      <c r="Q896" s="2" t="s">
        <v>3083</v>
      </c>
      <c r="R896" s="11">
        <f>SUBTOTAL(3,_xlfn.SINGLE(tbl_file[RowId]))</f>
        <v>1</v>
      </c>
    </row>
    <row r="897" spans="10:18">
      <c r="J897" s="4">
        <v>491</v>
      </c>
      <c r="K897" s="21" t="str">
        <f>HYPERLINK("obsidian://open?vault=o2&amp;file=Blood%20Glucose%20Levels%20Chart.md","Blood Glucose Levels Chart")</f>
        <v>Blood Glucose Levels Chart</v>
      </c>
      <c r="L897" s="20" t="s">
        <v>175</v>
      </c>
      <c r="M897" s="4"/>
      <c r="N897" s="2" t="s">
        <v>133</v>
      </c>
      <c r="O897" s="2"/>
      <c r="P897" s="4">
        <v>1</v>
      </c>
      <c r="Q897" s="2" t="s">
        <v>2693</v>
      </c>
      <c r="R897" s="11">
        <f>SUBTOTAL(3,_xlfn.SINGLE(tbl_file[RowId]))</f>
        <v>1</v>
      </c>
    </row>
    <row r="898" spans="10:18">
      <c r="J898" s="4">
        <v>1105</v>
      </c>
      <c r="K898" s="21" t="str">
        <f t="shared" ref="K898:K904" si="14">HYPERLINK("obsidian://open?vault=o2&amp;file=Blooms%20Taxonomy-Higher%20Order%20Thinking.md","Blooms Taxonomy-Higher Order Thinking")</f>
        <v>Blooms Taxonomy-Higher Order Thinking</v>
      </c>
      <c r="L898" s="20" t="s">
        <v>175</v>
      </c>
      <c r="M898" s="4"/>
      <c r="N898" s="2" t="s">
        <v>11</v>
      </c>
      <c r="O898" s="2"/>
      <c r="P898" s="4">
        <v>2</v>
      </c>
      <c r="Q898" s="2" t="s">
        <v>2984</v>
      </c>
      <c r="R898" s="11">
        <f>SUBTOTAL(3,_xlfn.SINGLE(tbl_file[RowId]))</f>
        <v>1</v>
      </c>
    </row>
    <row r="899" spans="10:18">
      <c r="J899" s="4">
        <v>1106</v>
      </c>
      <c r="K899" s="21" t="str">
        <f t="shared" si="14"/>
        <v>Blooms Taxonomy-Higher Order Thinking</v>
      </c>
      <c r="L899" s="20" t="s">
        <v>175</v>
      </c>
      <c r="M899" s="4"/>
      <c r="N899" s="2" t="s">
        <v>48</v>
      </c>
      <c r="O899" s="2"/>
      <c r="P899" s="4">
        <v>4</v>
      </c>
      <c r="Q899" s="2" t="s">
        <v>2985</v>
      </c>
      <c r="R899" s="11">
        <f>SUBTOTAL(3,_xlfn.SINGLE(tbl_file[RowId]))</f>
        <v>1</v>
      </c>
    </row>
    <row r="900" spans="10:18">
      <c r="J900" s="4">
        <v>1107</v>
      </c>
      <c r="K900" s="21" t="str">
        <f t="shared" si="14"/>
        <v>Blooms Taxonomy-Higher Order Thinking</v>
      </c>
      <c r="L900" s="20" t="s">
        <v>175</v>
      </c>
      <c r="M900" s="4"/>
      <c r="N900" s="2" t="s">
        <v>118</v>
      </c>
      <c r="O900" s="2"/>
      <c r="P900" s="4">
        <v>1</v>
      </c>
      <c r="Q900" s="2" t="s">
        <v>1641</v>
      </c>
      <c r="R900" s="11">
        <f>SUBTOTAL(3,_xlfn.SINGLE(tbl_file[RowId]))</f>
        <v>1</v>
      </c>
    </row>
    <row r="901" spans="10:18">
      <c r="J901" s="4">
        <v>1108</v>
      </c>
      <c r="K901" s="21" t="str">
        <f t="shared" si="14"/>
        <v>Blooms Taxonomy-Higher Order Thinking</v>
      </c>
      <c r="L901" s="20" t="s">
        <v>175</v>
      </c>
      <c r="M901" s="4"/>
      <c r="N901" s="2" t="s">
        <v>123</v>
      </c>
      <c r="O901" s="2"/>
      <c r="P901" s="4">
        <v>1</v>
      </c>
      <c r="Q901" s="2" t="s">
        <v>1564</v>
      </c>
      <c r="R901" s="11">
        <f>SUBTOTAL(3,_xlfn.SINGLE(tbl_file[RowId]))</f>
        <v>1</v>
      </c>
    </row>
    <row r="902" spans="10:18">
      <c r="J902" s="4">
        <v>1109</v>
      </c>
      <c r="K902" s="21" t="str">
        <f t="shared" si="14"/>
        <v>Blooms Taxonomy-Higher Order Thinking</v>
      </c>
      <c r="L902" s="20" t="s">
        <v>175</v>
      </c>
      <c r="M902" s="4"/>
      <c r="N902" s="2" t="s">
        <v>127</v>
      </c>
      <c r="O902" s="2"/>
      <c r="P902" s="4">
        <v>1</v>
      </c>
      <c r="Q902" s="2" t="s">
        <v>1956</v>
      </c>
      <c r="R902" s="11">
        <f>SUBTOTAL(3,_xlfn.SINGLE(tbl_file[RowId]))</f>
        <v>1</v>
      </c>
    </row>
    <row r="903" spans="10:18">
      <c r="J903" s="4">
        <v>1110</v>
      </c>
      <c r="K903" s="21" t="str">
        <f t="shared" si="14"/>
        <v>Blooms Taxonomy-Higher Order Thinking</v>
      </c>
      <c r="L903" s="20" t="s">
        <v>175</v>
      </c>
      <c r="M903" s="4"/>
      <c r="N903" s="2" t="s">
        <v>2606</v>
      </c>
      <c r="O903" s="2"/>
      <c r="P903" s="4">
        <v>1</v>
      </c>
      <c r="Q903" s="2" t="s">
        <v>2416</v>
      </c>
      <c r="R903" s="11">
        <f>SUBTOTAL(3,_xlfn.SINGLE(tbl_file[RowId]))</f>
        <v>1</v>
      </c>
    </row>
    <row r="904" spans="10:18">
      <c r="J904" s="4">
        <v>1111</v>
      </c>
      <c r="K904" s="21" t="str">
        <f t="shared" si="14"/>
        <v>Blooms Taxonomy-Higher Order Thinking</v>
      </c>
      <c r="L904" s="20" t="s">
        <v>175</v>
      </c>
      <c r="M904" s="4"/>
      <c r="N904" s="2" t="s">
        <v>133</v>
      </c>
      <c r="O904" s="2"/>
      <c r="P904" s="4">
        <v>1</v>
      </c>
      <c r="Q904" s="2" t="s">
        <v>2113</v>
      </c>
      <c r="R904" s="11">
        <f>SUBTOTAL(3,_xlfn.SINGLE(tbl_file[RowId]))</f>
        <v>1</v>
      </c>
    </row>
    <row r="905" spans="10:18">
      <c r="J905" s="4">
        <v>2453</v>
      </c>
      <c r="K905" s="21" t="str">
        <f>HYPERLINK("obsidian://open?vault=o2&amp;file=Book%20Application%20Template.md","Book Application Template")</f>
        <v>Book Application Template</v>
      </c>
      <c r="L905" s="20" t="s">
        <v>175</v>
      </c>
      <c r="M905" s="4"/>
      <c r="N905" s="2" t="s">
        <v>50</v>
      </c>
      <c r="O905" s="2"/>
      <c r="P905" s="4">
        <v>2</v>
      </c>
      <c r="Q905" s="2" t="s">
        <v>3178</v>
      </c>
      <c r="R905" s="11">
        <f>SUBTOTAL(3,_xlfn.SINGLE(tbl_file[RowId]))</f>
        <v>1</v>
      </c>
    </row>
    <row r="906" spans="10:18">
      <c r="J906" s="4">
        <v>2454</v>
      </c>
      <c r="K906" s="21" t="str">
        <f>HYPERLINK("obsidian://open?vault=o2&amp;file=Book%20Application%20Template.md","Book Application Template")</f>
        <v>Book Application Template</v>
      </c>
      <c r="L906" s="20" t="s">
        <v>175</v>
      </c>
      <c r="M906" s="4"/>
      <c r="N906" s="2" t="s">
        <v>2606</v>
      </c>
      <c r="O906" s="2"/>
      <c r="P906" s="4">
        <v>7</v>
      </c>
      <c r="Q906" s="2" t="s">
        <v>3185</v>
      </c>
      <c r="R906" s="11">
        <f>SUBTOTAL(3,_xlfn.SINGLE(tbl_file[RowId]))</f>
        <v>1</v>
      </c>
    </row>
    <row r="907" spans="10:18">
      <c r="J907" s="4">
        <v>2455</v>
      </c>
      <c r="K907" s="21" t="str">
        <f>HYPERLINK("obsidian://open?vault=o2&amp;file=Book%20Application%20Template.md","Book Application Template")</f>
        <v>Book Application Template</v>
      </c>
      <c r="L907" s="20" t="s">
        <v>175</v>
      </c>
      <c r="M907" s="4"/>
      <c r="N907" s="2" t="s">
        <v>133</v>
      </c>
      <c r="O907" s="2" t="s">
        <v>2637</v>
      </c>
      <c r="P907" s="4">
        <v>1</v>
      </c>
      <c r="Q907" s="2" t="s">
        <v>2115</v>
      </c>
      <c r="R907" s="11">
        <f>SUBTOTAL(3,_xlfn.SINGLE(tbl_file[RowId]))</f>
        <v>1</v>
      </c>
    </row>
    <row r="908" spans="10:18">
      <c r="J908" s="4">
        <v>2450</v>
      </c>
      <c r="K908" s="21" t="str">
        <f>HYPERLINK("obsidian://open?vault=o2&amp;file=Brainstorming%20Template.md","Brainstorming Template")</f>
        <v>Brainstorming Template</v>
      </c>
      <c r="L908" s="20" t="s">
        <v>175</v>
      </c>
      <c r="M908" s="4"/>
      <c r="N908" s="2" t="s">
        <v>50</v>
      </c>
      <c r="O908" s="2"/>
      <c r="P908" s="4">
        <v>1</v>
      </c>
      <c r="Q908" s="2" t="s">
        <v>1602</v>
      </c>
      <c r="R908" s="11">
        <f>SUBTOTAL(3,_xlfn.SINGLE(tbl_file[RowId]))</f>
        <v>1</v>
      </c>
    </row>
    <row r="909" spans="10:18">
      <c r="J909" s="4">
        <v>2451</v>
      </c>
      <c r="K909" s="21" t="str">
        <f>HYPERLINK("obsidian://open?vault=o2&amp;file=Brainstorming%20Template.md","Brainstorming Template")</f>
        <v>Brainstorming Template</v>
      </c>
      <c r="L909" s="20" t="s">
        <v>175</v>
      </c>
      <c r="M909" s="4"/>
      <c r="N909" s="2" t="s">
        <v>2606</v>
      </c>
      <c r="O909" s="2"/>
      <c r="P909" s="4">
        <v>1</v>
      </c>
      <c r="Q909" s="2" t="s">
        <v>1950</v>
      </c>
      <c r="R909" s="11">
        <f>SUBTOTAL(3,_xlfn.SINGLE(tbl_file[RowId]))</f>
        <v>1</v>
      </c>
    </row>
    <row r="910" spans="10:18">
      <c r="J910" s="4">
        <v>2452</v>
      </c>
      <c r="K910" s="21" t="str">
        <f>HYPERLINK("obsidian://open?vault=o2&amp;file=Brainstorming%20Template.md","Brainstorming Template")</f>
        <v>Brainstorming Template</v>
      </c>
      <c r="L910" s="20" t="s">
        <v>175</v>
      </c>
      <c r="M910" s="4"/>
      <c r="N910" s="2" t="s">
        <v>133</v>
      </c>
      <c r="O910" s="2" t="s">
        <v>2637</v>
      </c>
      <c r="P910" s="4">
        <v>1</v>
      </c>
      <c r="Q910" s="2" t="s">
        <v>2115</v>
      </c>
      <c r="R910" s="11">
        <f>SUBTOTAL(3,_xlfn.SINGLE(tbl_file[RowId]))</f>
        <v>1</v>
      </c>
    </row>
    <row r="911" spans="10:18">
      <c r="J911" s="4">
        <v>877</v>
      </c>
      <c r="K911" s="21" t="str">
        <f t="shared" ref="K911:K916" si="15">HYPERLINK("obsidian://open?vault=o2&amp;file=Building%20a%20Second%20Brain%20Highlights.md","Building a Second Brain Highlights")</f>
        <v>Building a Second Brain Highlights</v>
      </c>
      <c r="L911" s="20" t="s">
        <v>175</v>
      </c>
      <c r="M911" s="4"/>
      <c r="N911" s="2" t="s">
        <v>50</v>
      </c>
      <c r="O911" s="2"/>
      <c r="P911" s="4">
        <v>4</v>
      </c>
      <c r="Q911" s="2" t="s">
        <v>2915</v>
      </c>
      <c r="R911" s="11">
        <f>SUBTOTAL(3,_xlfn.SINGLE(tbl_file[RowId]))</f>
        <v>1</v>
      </c>
    </row>
    <row r="912" spans="10:18">
      <c r="J912" s="4">
        <v>878</v>
      </c>
      <c r="K912" s="21" t="str">
        <f t="shared" si="15"/>
        <v>Building a Second Brain Highlights</v>
      </c>
      <c r="L912" s="20" t="s">
        <v>175</v>
      </c>
      <c r="M912" s="4"/>
      <c r="N912" s="2" t="s">
        <v>118</v>
      </c>
      <c r="O912" s="2"/>
      <c r="P912" s="4">
        <v>1</v>
      </c>
      <c r="Q912" s="2" t="s">
        <v>1641</v>
      </c>
      <c r="R912" s="11">
        <f>SUBTOTAL(3,_xlfn.SINGLE(tbl_file[RowId]))</f>
        <v>1</v>
      </c>
    </row>
    <row r="913" spans="10:18">
      <c r="J913" s="4">
        <v>879</v>
      </c>
      <c r="K913" s="21" t="str">
        <f t="shared" si="15"/>
        <v>Building a Second Brain Highlights</v>
      </c>
      <c r="L913" s="20" t="s">
        <v>175</v>
      </c>
      <c r="M913" s="4"/>
      <c r="N913" s="2" t="s">
        <v>123</v>
      </c>
      <c r="O913" s="2" t="s">
        <v>2635</v>
      </c>
      <c r="P913" s="4">
        <v>1</v>
      </c>
      <c r="Q913" s="2" t="s">
        <v>1564</v>
      </c>
      <c r="R913" s="11">
        <f>SUBTOTAL(3,_xlfn.SINGLE(tbl_file[RowId]))</f>
        <v>1</v>
      </c>
    </row>
    <row r="914" spans="10:18">
      <c r="J914" s="4">
        <v>880</v>
      </c>
      <c r="K914" s="21" t="str">
        <f t="shared" si="15"/>
        <v>Building a Second Brain Highlights</v>
      </c>
      <c r="L914" s="20" t="s">
        <v>175</v>
      </c>
      <c r="M914" s="4"/>
      <c r="N914" s="2" t="s">
        <v>127</v>
      </c>
      <c r="O914" s="2"/>
      <c r="P914" s="4">
        <v>1</v>
      </c>
      <c r="Q914" s="2" t="s">
        <v>1958</v>
      </c>
      <c r="R914" s="11">
        <f>SUBTOTAL(3,_xlfn.SINGLE(tbl_file[RowId]))</f>
        <v>1</v>
      </c>
    </row>
    <row r="915" spans="10:18">
      <c r="J915" s="4">
        <v>881</v>
      </c>
      <c r="K915" s="21" t="str">
        <f t="shared" si="15"/>
        <v>Building a Second Brain Highlights</v>
      </c>
      <c r="L915" s="20" t="s">
        <v>175</v>
      </c>
      <c r="M915" s="4"/>
      <c r="N915" s="2" t="s">
        <v>129</v>
      </c>
      <c r="O915" s="2"/>
      <c r="P915" s="4">
        <v>1</v>
      </c>
      <c r="Q915" s="2" t="s">
        <v>1430</v>
      </c>
      <c r="R915" s="11">
        <f>SUBTOTAL(3,_xlfn.SINGLE(tbl_file[RowId]))</f>
        <v>1</v>
      </c>
    </row>
    <row r="916" spans="10:18">
      <c r="J916" s="4">
        <v>882</v>
      </c>
      <c r="K916" s="21" t="str">
        <f t="shared" si="15"/>
        <v>Building a Second Brain Highlights</v>
      </c>
      <c r="L916" s="20" t="s">
        <v>175</v>
      </c>
      <c r="M916" s="4"/>
      <c r="N916" s="2" t="s">
        <v>2606</v>
      </c>
      <c r="O916" s="2"/>
      <c r="P916" s="4">
        <v>2</v>
      </c>
      <c r="Q916" s="2" t="s">
        <v>2916</v>
      </c>
      <c r="R916" s="11">
        <f>SUBTOTAL(3,_xlfn.SINGLE(tbl_file[RowId]))</f>
        <v>1</v>
      </c>
    </row>
    <row r="917" spans="10:18">
      <c r="J917" s="4">
        <v>1901</v>
      </c>
      <c r="K917" s="21" t="str">
        <f>HYPERLINK("obsidian://open?vault=o2&amp;file=Business%20Name%20OSINT.md","Business Name OSINT")</f>
        <v>Business Name OSINT</v>
      </c>
      <c r="L917" s="20" t="s">
        <v>175</v>
      </c>
      <c r="M917" s="4"/>
      <c r="N917" s="2" t="s">
        <v>50</v>
      </c>
      <c r="O917" s="2"/>
      <c r="P917" s="4">
        <v>1</v>
      </c>
      <c r="Q917" s="2" t="s">
        <v>1448</v>
      </c>
      <c r="R917" s="11">
        <f>SUBTOTAL(3,_xlfn.SINGLE(tbl_file[RowId]))</f>
        <v>1</v>
      </c>
    </row>
    <row r="918" spans="10:18">
      <c r="J918" s="4">
        <v>1902</v>
      </c>
      <c r="K918" s="21" t="str">
        <f>HYPERLINK("obsidian://open?vault=o2&amp;file=Business%20Name%20OSINT.md","Business Name OSINT")</f>
        <v>Business Name OSINT</v>
      </c>
      <c r="L918" s="20" t="s">
        <v>175</v>
      </c>
      <c r="M918" s="4"/>
      <c r="N918" s="2" t="s">
        <v>2606</v>
      </c>
      <c r="O918" s="2"/>
      <c r="P918" s="4">
        <v>2</v>
      </c>
      <c r="Q918" s="2" t="s">
        <v>3084</v>
      </c>
      <c r="R918" s="11">
        <f>SUBTOTAL(3,_xlfn.SINGLE(tbl_file[RowId]))</f>
        <v>1</v>
      </c>
    </row>
    <row r="919" spans="10:18">
      <c r="J919" s="4">
        <v>1903</v>
      </c>
      <c r="K919" s="21" t="str">
        <f>HYPERLINK("obsidian://open?vault=o2&amp;file=Business%20Name%20OSINT.md","Business Name OSINT")</f>
        <v>Business Name OSINT</v>
      </c>
      <c r="L919" s="20" t="s">
        <v>175</v>
      </c>
      <c r="M919" s="4"/>
      <c r="N919" s="2" t="s">
        <v>133</v>
      </c>
      <c r="O919" s="2"/>
      <c r="P919" s="4">
        <v>1</v>
      </c>
      <c r="Q919" s="2" t="s">
        <v>2622</v>
      </c>
      <c r="R919" s="11">
        <f>SUBTOTAL(3,_xlfn.SINGLE(tbl_file[RowId]))</f>
        <v>1</v>
      </c>
    </row>
    <row r="920" spans="10:18">
      <c r="J920" s="4">
        <v>1904</v>
      </c>
      <c r="K920" s="21" t="str">
        <f>HYPERLINK("obsidian://open?vault=o2&amp;file=Capturing%20information.md","Capturing information")</f>
        <v>Capturing information</v>
      </c>
      <c r="L920" s="20" t="s">
        <v>175</v>
      </c>
      <c r="M920" s="4"/>
      <c r="N920" s="2" t="s">
        <v>50</v>
      </c>
      <c r="O920" s="2"/>
      <c r="P920" s="4">
        <v>1</v>
      </c>
      <c r="Q920" s="2" t="s">
        <v>1450</v>
      </c>
      <c r="R920" s="11">
        <f>SUBTOTAL(3,_xlfn.SINGLE(tbl_file[RowId]))</f>
        <v>1</v>
      </c>
    </row>
    <row r="921" spans="10:18">
      <c r="J921" s="4">
        <v>1288</v>
      </c>
      <c r="K921" s="21" t="str">
        <f>HYPERLINK("obsidian://open?vault=o2&amp;file=Car%20Info.md","Car Info")</f>
        <v>Car Info</v>
      </c>
      <c r="L921" s="20" t="s">
        <v>175</v>
      </c>
      <c r="M921" s="4"/>
      <c r="N921" s="2" t="s">
        <v>50</v>
      </c>
      <c r="O921" s="2"/>
      <c r="P921" s="4">
        <v>1</v>
      </c>
      <c r="Q921" s="2" t="s">
        <v>1704</v>
      </c>
      <c r="R921" s="11">
        <f>SUBTOTAL(3,_xlfn.SINGLE(tbl_file[RowId]))</f>
        <v>1</v>
      </c>
    </row>
    <row r="922" spans="10:18">
      <c r="J922" s="4">
        <v>1289</v>
      </c>
      <c r="K922" s="21" t="str">
        <f>HYPERLINK("obsidian://open?vault=o2&amp;file=Car%20Info.md","Car Info")</f>
        <v>Car Info</v>
      </c>
      <c r="L922" s="20" t="s">
        <v>175</v>
      </c>
      <c r="M922" s="4"/>
      <c r="N922" s="2" t="s">
        <v>127</v>
      </c>
      <c r="O922" s="2"/>
      <c r="P922" s="4">
        <v>1</v>
      </c>
      <c r="Q922" s="2" t="s">
        <v>1958</v>
      </c>
      <c r="R922" s="11">
        <f>SUBTOTAL(3,_xlfn.SINGLE(tbl_file[RowId]))</f>
        <v>1</v>
      </c>
    </row>
    <row r="923" spans="10:18">
      <c r="J923" s="4">
        <v>1290</v>
      </c>
      <c r="K923" s="21" t="str">
        <f>HYPERLINK("obsidian://open?vault=o2&amp;file=Car%20Info.md","Car Info")</f>
        <v>Car Info</v>
      </c>
      <c r="L923" s="20" t="s">
        <v>175</v>
      </c>
      <c r="M923" s="4"/>
      <c r="N923" s="2" t="s">
        <v>2606</v>
      </c>
      <c r="O923" s="2"/>
      <c r="P923" s="4">
        <v>2</v>
      </c>
      <c r="Q923" s="2" t="s">
        <v>3016</v>
      </c>
      <c r="R923" s="11">
        <f>SUBTOTAL(3,_xlfn.SINGLE(tbl_file[RowId]))</f>
        <v>1</v>
      </c>
    </row>
    <row r="924" spans="10:18">
      <c r="J924" s="4">
        <v>1291</v>
      </c>
      <c r="K924" s="21" t="str">
        <f>HYPERLINK("obsidian://open?vault=o2&amp;file=Car%20Info.md","Car Info")</f>
        <v>Car Info</v>
      </c>
      <c r="L924" s="20" t="s">
        <v>175</v>
      </c>
      <c r="M924" s="4"/>
      <c r="N924" s="2" t="s">
        <v>133</v>
      </c>
      <c r="O924" s="2"/>
      <c r="P924" s="4">
        <v>1</v>
      </c>
      <c r="Q924" s="2" t="s">
        <v>2111</v>
      </c>
      <c r="R924" s="11">
        <f>SUBTOTAL(3,_xlfn.SINGLE(tbl_file[RowId]))</f>
        <v>1</v>
      </c>
    </row>
    <row r="925" spans="10:18">
      <c r="J925" s="4">
        <v>15</v>
      </c>
      <c r="K925" s="21" t="str">
        <f>HYPERLINK("obsidian://open?vault=o2&amp;file=CasaOS%20Clean%20Re-install%20Step-by-Step.md","CasaOS Clean Re-install Step-by-Step")</f>
        <v>CasaOS Clean Re-install Step-by-Step</v>
      </c>
      <c r="L925" s="20" t="s">
        <v>175</v>
      </c>
      <c r="M925" s="4"/>
      <c r="N925" s="2" t="s">
        <v>50</v>
      </c>
      <c r="O925" s="2"/>
      <c r="P925" s="4">
        <v>1</v>
      </c>
      <c r="Q925" s="2" t="s">
        <v>1472</v>
      </c>
      <c r="R925" s="11">
        <f>SUBTOTAL(3,_xlfn.SINGLE(tbl_file[RowId]))</f>
        <v>1</v>
      </c>
    </row>
    <row r="926" spans="10:18">
      <c r="J926" s="4">
        <v>16</v>
      </c>
      <c r="K926" s="21" t="str">
        <f>HYPERLINK("obsidian://open?vault=o2&amp;file=CasaOS%20Clean%20Re-install%20Step-by-Step.md","CasaOS Clean Re-install Step-by-Step")</f>
        <v>CasaOS Clean Re-install Step-by-Step</v>
      </c>
      <c r="L926" s="20" t="s">
        <v>175</v>
      </c>
      <c r="M926" s="4"/>
      <c r="N926" s="2" t="s">
        <v>127</v>
      </c>
      <c r="O926" s="2"/>
      <c r="P926" s="4">
        <v>1</v>
      </c>
      <c r="Q926" s="2" t="s">
        <v>1960</v>
      </c>
      <c r="R926" s="11">
        <f>SUBTOTAL(3,_xlfn.SINGLE(tbl_file[RowId]))</f>
        <v>1</v>
      </c>
    </row>
    <row r="927" spans="10:18">
      <c r="J927" s="4">
        <v>17</v>
      </c>
      <c r="K927" s="21" t="str">
        <f>HYPERLINK("obsidian://open?vault=o2&amp;file=CasaOS%20Clean%20Re-install%20Step-by-Step.md","CasaOS Clean Re-install Step-by-Step")</f>
        <v>CasaOS Clean Re-install Step-by-Step</v>
      </c>
      <c r="L927" s="20" t="s">
        <v>175</v>
      </c>
      <c r="M927" s="4"/>
      <c r="N927" s="2" t="s">
        <v>2606</v>
      </c>
      <c r="O927" s="2"/>
      <c r="P927" s="4">
        <v>1</v>
      </c>
      <c r="Q927" s="2" t="s">
        <v>2293</v>
      </c>
      <c r="R927" s="11">
        <f>SUBTOTAL(3,_xlfn.SINGLE(tbl_file[RowId]))</f>
        <v>1</v>
      </c>
    </row>
    <row r="928" spans="10:18">
      <c r="J928" s="4">
        <v>18</v>
      </c>
      <c r="K928" s="21" t="str">
        <f>HYPERLINK("obsidian://open?vault=o2&amp;file=CasaOS%20Clean%20Re-install%20Step-by-Step.md","CasaOS Clean Re-install Step-by-Step")</f>
        <v>CasaOS Clean Re-install Step-by-Step</v>
      </c>
      <c r="L928" s="20" t="s">
        <v>175</v>
      </c>
      <c r="M928" s="4"/>
      <c r="N928" s="2" t="s">
        <v>133</v>
      </c>
      <c r="O928" s="2"/>
      <c r="P928" s="4">
        <v>1</v>
      </c>
      <c r="Q928" s="2" t="s">
        <v>2111</v>
      </c>
      <c r="R928" s="11">
        <f>SUBTOTAL(3,_xlfn.SINGLE(tbl_file[RowId]))</f>
        <v>1</v>
      </c>
    </row>
    <row r="929" spans="10:18">
      <c r="J929" s="4">
        <v>1905</v>
      </c>
      <c r="K929" s="21" t="str">
        <f>HYPERLINK("obsidian://open?vault=o2&amp;file=CategorySVG%20by%20subject%20-%20Wikimedia%20Commons.md","CategorySVG by subject - Wikimedia Commons")</f>
        <v>CategorySVG by subject - Wikimedia Commons</v>
      </c>
      <c r="L929" s="20" t="s">
        <v>175</v>
      </c>
      <c r="M929" s="4"/>
      <c r="N929" s="2" t="s">
        <v>33</v>
      </c>
      <c r="O929" s="2"/>
      <c r="P929" s="4">
        <v>1</v>
      </c>
      <c r="Q929" s="2" t="s">
        <v>2634</v>
      </c>
      <c r="R929" s="11">
        <f>SUBTOTAL(3,_xlfn.SINGLE(tbl_file[RowId]))</f>
        <v>1</v>
      </c>
    </row>
    <row r="930" spans="10:18">
      <c r="J930" s="4">
        <v>1906</v>
      </c>
      <c r="K930" s="21" t="str">
        <f>HYPERLINK("obsidian://open?vault=o2&amp;file=CategorySVG%20by%20subject%20-%20Wikimedia%20Commons.md","CategorySVG by subject - Wikimedia Commons")</f>
        <v>CategorySVG by subject - Wikimedia Commons</v>
      </c>
      <c r="L930" s="20" t="s">
        <v>175</v>
      </c>
      <c r="M930" s="4"/>
      <c r="N930" s="2" t="s">
        <v>46</v>
      </c>
      <c r="O930" s="2"/>
      <c r="P930" s="4">
        <v>1</v>
      </c>
      <c r="Q930" s="2" t="s">
        <v>2634</v>
      </c>
      <c r="R930" s="11">
        <f>SUBTOTAL(3,_xlfn.SINGLE(tbl_file[RowId]))</f>
        <v>1</v>
      </c>
    </row>
    <row r="931" spans="10:18">
      <c r="J931" s="4">
        <v>1907</v>
      </c>
      <c r="K931" s="21" t="str">
        <f>HYPERLINK("obsidian://open?vault=o2&amp;file=CategorySVG%20by%20subject%20-%20Wikimedia%20Commons.md","CategorySVG by subject - Wikimedia Commons")</f>
        <v>CategorySVG by subject - Wikimedia Commons</v>
      </c>
      <c r="L931" s="20" t="s">
        <v>175</v>
      </c>
      <c r="M931" s="4"/>
      <c r="N931" s="2" t="s">
        <v>132</v>
      </c>
      <c r="O931" s="2"/>
      <c r="P931" s="4">
        <v>1</v>
      </c>
      <c r="Q931" s="2" t="s">
        <v>2037</v>
      </c>
      <c r="R931" s="11">
        <f>SUBTOTAL(3,_xlfn.SINGLE(tbl_file[RowId]))</f>
        <v>1</v>
      </c>
    </row>
    <row r="932" spans="10:18">
      <c r="J932" s="4">
        <v>1908</v>
      </c>
      <c r="K932" s="21" t="str">
        <f>HYPERLINK("obsidian://open?vault=o2&amp;file=CategorySVG%20by%20subject%20-%20Wikimedia%20Commons.md","CategorySVG by subject - Wikimedia Commons")</f>
        <v>CategorySVG by subject - Wikimedia Commons</v>
      </c>
      <c r="L932" s="20" t="s">
        <v>175</v>
      </c>
      <c r="M932" s="4"/>
      <c r="N932" s="2" t="s">
        <v>137</v>
      </c>
      <c r="O932" s="2"/>
      <c r="P932" s="4">
        <v>1</v>
      </c>
      <c r="Q932" s="2" t="s">
        <v>2155</v>
      </c>
      <c r="R932" s="11">
        <f>SUBTOTAL(3,_xlfn.SINGLE(tbl_file[RowId]))</f>
        <v>1</v>
      </c>
    </row>
    <row r="933" spans="10:18">
      <c r="J933" s="4">
        <v>1909</v>
      </c>
      <c r="K933" s="21" t="str">
        <f>HYPERLINK("obsidian://open?vault=o2&amp;file=Charred%20Broccoli%2C%20Mushroom%20%26%20Egg%20Stratta.md","Charred Broccoli, Mushroom &amp; Egg Stratta")</f>
        <v>Charred Broccoli, Mushroom &amp; Egg Stratta</v>
      </c>
      <c r="L933" s="20" t="s">
        <v>175</v>
      </c>
      <c r="M933" s="4"/>
      <c r="N933" s="2" t="s">
        <v>2606</v>
      </c>
      <c r="O933" s="2"/>
      <c r="P933" s="4">
        <v>1</v>
      </c>
      <c r="Q933" s="2" t="s">
        <v>1002</v>
      </c>
      <c r="R933" s="11">
        <f>SUBTOTAL(3,_xlfn.SINGLE(tbl_file[RowId]))</f>
        <v>1</v>
      </c>
    </row>
    <row r="934" spans="10:18">
      <c r="J934" s="4">
        <v>95</v>
      </c>
      <c r="K934" s="21" t="str">
        <f>HYPERLINK("obsidian://open?vault=o2&amp;file=Cheats%20Lib%20README.md","Cheats Lib README")</f>
        <v>Cheats Lib README</v>
      </c>
      <c r="L934" s="20" t="s">
        <v>175</v>
      </c>
      <c r="M934" s="4"/>
      <c r="N934" s="2" t="s">
        <v>50</v>
      </c>
      <c r="O934" s="2"/>
      <c r="P934" s="4">
        <v>1</v>
      </c>
      <c r="Q934" s="2" t="s">
        <v>1623</v>
      </c>
      <c r="R934" s="11">
        <f>SUBTOTAL(3,_xlfn.SINGLE(tbl_file[RowId]))</f>
        <v>1</v>
      </c>
    </row>
    <row r="935" spans="10:18">
      <c r="J935" s="4">
        <v>96</v>
      </c>
      <c r="K935" s="21" t="str">
        <f>HYPERLINK("obsidian://open?vault=o2&amp;file=Cheats%20Lib%20README.md","Cheats Lib README")</f>
        <v>Cheats Lib README</v>
      </c>
      <c r="L935" s="20" t="s">
        <v>175</v>
      </c>
      <c r="M935" s="4"/>
      <c r="N935" s="2" t="s">
        <v>2606</v>
      </c>
      <c r="O935" s="2"/>
      <c r="P935" s="4">
        <v>1</v>
      </c>
      <c r="Q935" s="2" t="s">
        <v>2583</v>
      </c>
      <c r="R935" s="11">
        <f>SUBTOTAL(3,_xlfn.SINGLE(tbl_file[RowId]))</f>
        <v>1</v>
      </c>
    </row>
    <row r="936" spans="10:18">
      <c r="J936" s="4">
        <v>1207</v>
      </c>
      <c r="K936" s="21" t="str">
        <f>HYPERLINK("obsidian://open?vault=o2&amp;file=Chrome%20Built-In%20Hotkeys.md","Chrome Built-In Hotkeys")</f>
        <v>Chrome Built-In Hotkeys</v>
      </c>
      <c r="L936" s="20" t="s">
        <v>175</v>
      </c>
      <c r="M936" s="4"/>
      <c r="N936" s="2" t="s">
        <v>118</v>
      </c>
      <c r="O936" s="2"/>
      <c r="P936" s="4">
        <v>1</v>
      </c>
      <c r="Q936" s="2" t="s">
        <v>1813</v>
      </c>
      <c r="R936" s="11">
        <f>SUBTOTAL(3,_xlfn.SINGLE(tbl_file[RowId]))</f>
        <v>1</v>
      </c>
    </row>
    <row r="937" spans="10:18">
      <c r="J937" s="4">
        <v>1208</v>
      </c>
      <c r="K937" s="21" t="str">
        <f>HYPERLINK("obsidian://open?vault=o2&amp;file=Chrome%20Built-In%20Hotkeys.md","Chrome Built-In Hotkeys")</f>
        <v>Chrome Built-In Hotkeys</v>
      </c>
      <c r="L937" s="20" t="s">
        <v>175</v>
      </c>
      <c r="M937" s="4"/>
      <c r="N937" s="2" t="s">
        <v>2606</v>
      </c>
      <c r="O937" s="2"/>
      <c r="P937" s="4">
        <v>2</v>
      </c>
      <c r="Q937" s="2" t="s">
        <v>3002</v>
      </c>
      <c r="R937" s="11">
        <f>SUBTOTAL(3,_xlfn.SINGLE(tbl_file[RowId]))</f>
        <v>1</v>
      </c>
    </row>
    <row r="938" spans="10:18">
      <c r="J938" s="4">
        <v>958</v>
      </c>
      <c r="K938" s="21" t="str">
        <f>HYPERLINK("obsidian://open?vault=o2&amp;file=CIA%20Wanted%20His%20Hotel%20as%20Bay%20of%20Pigs%20Haven%2C%20Moore%20Testifies.md","CIA Wanted His Hotel as Bay of Pigs Haven, Moore Testifies")</f>
        <v>CIA Wanted His Hotel as Bay of Pigs Haven, Moore Testifies</v>
      </c>
      <c r="L938" s="20" t="s">
        <v>175</v>
      </c>
      <c r="M938" s="4"/>
      <c r="N938" s="2" t="s">
        <v>33</v>
      </c>
      <c r="O938" s="2"/>
      <c r="P938" s="4">
        <v>1</v>
      </c>
      <c r="Q938" s="2" t="s">
        <v>2634</v>
      </c>
      <c r="R938" s="11">
        <f>SUBTOTAL(3,_xlfn.SINGLE(tbl_file[RowId]))</f>
        <v>1</v>
      </c>
    </row>
    <row r="939" spans="10:18">
      <c r="J939" s="4">
        <v>959</v>
      </c>
      <c r="K939" s="21" t="str">
        <f>HYPERLINK("obsidian://open?vault=o2&amp;file=CIA%20Wanted%20His%20Hotel%20as%20Bay%20of%20Pigs%20Haven%2C%20Moore%20Testifies.md","CIA Wanted His Hotel as Bay of Pigs Haven, Moore Testifies")</f>
        <v>CIA Wanted His Hotel as Bay of Pigs Haven, Moore Testifies</v>
      </c>
      <c r="L939" s="20" t="s">
        <v>175</v>
      </c>
      <c r="M939" s="4"/>
      <c r="N939" s="2" t="s">
        <v>46</v>
      </c>
      <c r="O939" s="2"/>
      <c r="P939" s="4">
        <v>1</v>
      </c>
      <c r="Q939" s="2" t="s">
        <v>645</v>
      </c>
      <c r="R939" s="11">
        <f>SUBTOTAL(3,_xlfn.SINGLE(tbl_file[RowId]))</f>
        <v>1</v>
      </c>
    </row>
    <row r="940" spans="10:18">
      <c r="J940" s="4">
        <v>960</v>
      </c>
      <c r="K940" s="21" t="str">
        <f>HYPERLINK("obsidian://open?vault=o2&amp;file=CIA%20Wanted%20His%20Hotel%20as%20Bay%20of%20Pigs%20Haven%2C%20Moore%20Testifies.md","CIA Wanted His Hotel as Bay of Pigs Haven, Moore Testifies")</f>
        <v>CIA Wanted His Hotel as Bay of Pigs Haven, Moore Testifies</v>
      </c>
      <c r="L940" s="20" t="s">
        <v>175</v>
      </c>
      <c r="M940" s="4"/>
      <c r="N940" s="2" t="s">
        <v>132</v>
      </c>
      <c r="O940" s="2"/>
      <c r="P940" s="4">
        <v>1</v>
      </c>
      <c r="Q940" s="2" t="s">
        <v>2035</v>
      </c>
      <c r="R940" s="11">
        <f>SUBTOTAL(3,_xlfn.SINGLE(tbl_file[RowId]))</f>
        <v>1</v>
      </c>
    </row>
    <row r="941" spans="10:18">
      <c r="J941" s="4">
        <v>961</v>
      </c>
      <c r="K941" s="21" t="str">
        <f>HYPERLINK("obsidian://open?vault=o2&amp;file=CIA%20Wanted%20His%20Hotel%20as%20Bay%20of%20Pigs%20Haven%2C%20Moore%20Testifies.md","CIA Wanted His Hotel as Bay of Pigs Haven, Moore Testifies")</f>
        <v>CIA Wanted His Hotel as Bay of Pigs Haven, Moore Testifies</v>
      </c>
      <c r="L941" s="20" t="s">
        <v>175</v>
      </c>
      <c r="M941" s="4"/>
      <c r="N941" s="2" t="s">
        <v>137</v>
      </c>
      <c r="O941" s="2"/>
      <c r="P941" s="4">
        <v>1</v>
      </c>
      <c r="Q941" s="2" t="s">
        <v>2215</v>
      </c>
      <c r="R941" s="11">
        <f>SUBTOTAL(3,_xlfn.SINGLE(tbl_file[RowId]))</f>
        <v>1</v>
      </c>
    </row>
    <row r="942" spans="10:18">
      <c r="J942" s="4">
        <v>962</v>
      </c>
      <c r="K942" s="21" t="str">
        <f>HYPERLINK("obsidian://open?vault=o2&amp;file=CIA%20Wanted%20His%20Hotel%20as%20Bay%20of%20Pigs%20Haven%2C%20Moore%20Testifies.md","CIA Wanted His Hotel as Bay of Pigs Haven, Moore Testifies")</f>
        <v>CIA Wanted His Hotel as Bay of Pigs Haven, Moore Testifies</v>
      </c>
      <c r="L942" s="20" t="s">
        <v>175</v>
      </c>
      <c r="M942" s="4" t="s">
        <v>2626</v>
      </c>
      <c r="N942" s="2" t="s">
        <v>2606</v>
      </c>
      <c r="O942" s="2"/>
      <c r="P942" s="4">
        <v>1</v>
      </c>
      <c r="Q942" s="2" t="s">
        <v>2537</v>
      </c>
      <c r="R942" s="11">
        <f>SUBTOTAL(3,_xlfn.SINGLE(tbl_file[RowId]))</f>
        <v>1</v>
      </c>
    </row>
    <row r="943" spans="10:18">
      <c r="J943" s="4">
        <v>19</v>
      </c>
      <c r="K943" s="21" t="str">
        <f>HYPERLINK("obsidian://open?vault=o2&amp;file=Cloudflare%20Two-Factor%20Auth.md","Cloudflare Two-Factor Auth")</f>
        <v>Cloudflare Two-Factor Auth</v>
      </c>
      <c r="L943" s="20" t="s">
        <v>175</v>
      </c>
      <c r="M943" s="4"/>
      <c r="N943" s="2" t="s">
        <v>50</v>
      </c>
      <c r="O943" s="2"/>
      <c r="P943" s="4">
        <v>1</v>
      </c>
      <c r="Q943" s="2" t="s">
        <v>1474</v>
      </c>
      <c r="R943" s="11">
        <f>SUBTOTAL(3,_xlfn.SINGLE(tbl_file[RowId]))</f>
        <v>1</v>
      </c>
    </row>
    <row r="944" spans="10:18">
      <c r="J944" s="4">
        <v>20</v>
      </c>
      <c r="K944" s="21" t="str">
        <f>HYPERLINK("obsidian://open?vault=o2&amp;file=Cloudflare%20Two-Factor%20Auth.md","Cloudflare Two-Factor Auth")</f>
        <v>Cloudflare Two-Factor Auth</v>
      </c>
      <c r="L944" s="20" t="s">
        <v>175</v>
      </c>
      <c r="M944" s="4"/>
      <c r="N944" s="2" t="s">
        <v>127</v>
      </c>
      <c r="O944" s="2"/>
      <c r="P944" s="4">
        <v>1</v>
      </c>
      <c r="Q944" s="2" t="s">
        <v>1960</v>
      </c>
      <c r="R944" s="11">
        <f>SUBTOTAL(3,_xlfn.SINGLE(tbl_file[RowId]))</f>
        <v>1</v>
      </c>
    </row>
    <row r="945" spans="10:18">
      <c r="J945" s="4">
        <v>21</v>
      </c>
      <c r="K945" s="21" t="str">
        <f>HYPERLINK("obsidian://open?vault=o2&amp;file=Cloudflare%20Two-Factor%20Auth.md","Cloudflare Two-Factor Auth")</f>
        <v>Cloudflare Two-Factor Auth</v>
      </c>
      <c r="L945" s="20" t="s">
        <v>175</v>
      </c>
      <c r="M945" s="4"/>
      <c r="N945" s="2" t="s">
        <v>2606</v>
      </c>
      <c r="O945" s="2"/>
      <c r="P945" s="4">
        <v>1</v>
      </c>
      <c r="Q945" s="2" t="s">
        <v>2293</v>
      </c>
      <c r="R945" s="11">
        <f>SUBTOTAL(3,_xlfn.SINGLE(tbl_file[RowId]))</f>
        <v>1</v>
      </c>
    </row>
    <row r="946" spans="10:18">
      <c r="J946" s="4">
        <v>22</v>
      </c>
      <c r="K946" s="21" t="str">
        <f>HYPERLINK("obsidian://open?vault=o2&amp;file=Cloudflare%20Two-Factor%20Auth.md","Cloudflare Two-Factor Auth")</f>
        <v>Cloudflare Two-Factor Auth</v>
      </c>
      <c r="L946" s="20" t="s">
        <v>175</v>
      </c>
      <c r="M946" s="4"/>
      <c r="N946" s="2" t="s">
        <v>133</v>
      </c>
      <c r="O946" s="2"/>
      <c r="P946" s="4">
        <v>1</v>
      </c>
      <c r="Q946" s="2" t="s">
        <v>2111</v>
      </c>
      <c r="R946" s="11">
        <f>SUBTOTAL(3,_xlfn.SINGLE(tbl_file[RowId]))</f>
        <v>1</v>
      </c>
    </row>
    <row r="947" spans="10:18">
      <c r="J947" s="4">
        <v>2589</v>
      </c>
      <c r="K947" s="21" t="str">
        <f>HYPERLINK("obsidian://open?vault=o2&amp;file=Code%20Doc%20Template.md","Code Doc Template")</f>
        <v>Code Doc Template</v>
      </c>
      <c r="L947" s="20" t="s">
        <v>175</v>
      </c>
      <c r="M947" s="4"/>
      <c r="N947" s="2" t="s">
        <v>50</v>
      </c>
      <c r="O947" s="2"/>
      <c r="P947" s="4">
        <v>1</v>
      </c>
      <c r="Q947" s="2" t="s">
        <v>1602</v>
      </c>
      <c r="R947" s="11">
        <f>SUBTOTAL(3,_xlfn.SINGLE(tbl_file[RowId]))</f>
        <v>1</v>
      </c>
    </row>
    <row r="948" spans="10:18">
      <c r="J948" s="4">
        <v>2590</v>
      </c>
      <c r="K948" s="21" t="str">
        <f>HYPERLINK("obsidian://open?vault=o2&amp;file=Code%20Doc%20Template.md","Code Doc Template")</f>
        <v>Code Doc Template</v>
      </c>
      <c r="L948" s="20" t="s">
        <v>175</v>
      </c>
      <c r="M948" s="4"/>
      <c r="N948" s="2" t="s">
        <v>2606</v>
      </c>
      <c r="O948" s="2"/>
      <c r="P948" s="4">
        <v>1</v>
      </c>
      <c r="Q948" s="2" t="s">
        <v>1950</v>
      </c>
      <c r="R948" s="11">
        <f>SUBTOTAL(3,_xlfn.SINGLE(tbl_file[RowId]))</f>
        <v>1</v>
      </c>
    </row>
    <row r="949" spans="10:18">
      <c r="J949" s="4">
        <v>2591</v>
      </c>
      <c r="K949" s="21" t="str">
        <f>HYPERLINK("obsidian://open?vault=o2&amp;file=Code%20Doc%20Template.md","Code Doc Template")</f>
        <v>Code Doc Template</v>
      </c>
      <c r="L949" s="20" t="s">
        <v>175</v>
      </c>
      <c r="M949" s="4"/>
      <c r="N949" s="2" t="s">
        <v>133</v>
      </c>
      <c r="O949" s="2" t="s">
        <v>2637</v>
      </c>
      <c r="P949" s="4">
        <v>1</v>
      </c>
      <c r="Q949" s="2" t="s">
        <v>2115</v>
      </c>
      <c r="R949" s="11">
        <f>SUBTOTAL(3,_xlfn.SINGLE(tbl_file[RowId]))</f>
        <v>1</v>
      </c>
    </row>
    <row r="950" spans="10:18">
      <c r="J950" s="4">
        <v>925</v>
      </c>
      <c r="K950" s="21" t="str">
        <f>HYPERLINK("obsidian://open?vault=o2&amp;file=Colbert%20Diff%20between%20Classified%20Documents%20Biden%20vs.%20Trump.md","Colbert Diff between Classified Documents Biden vs. Trump")</f>
        <v>Colbert Diff between Classified Documents Biden vs. Trump</v>
      </c>
      <c r="L950" s="20" t="s">
        <v>175</v>
      </c>
      <c r="M950" s="4"/>
      <c r="N950" s="2" t="s">
        <v>50</v>
      </c>
      <c r="O950" s="2"/>
      <c r="P950" s="4">
        <v>2</v>
      </c>
      <c r="Q950" s="2" t="s">
        <v>2962</v>
      </c>
      <c r="R950" s="11">
        <f>SUBTOTAL(3,_xlfn.SINGLE(tbl_file[RowId]))</f>
        <v>1</v>
      </c>
    </row>
    <row r="951" spans="10:18">
      <c r="J951" s="4">
        <v>926</v>
      </c>
      <c r="K951" s="21" t="str">
        <f>HYPERLINK("obsidian://open?vault=o2&amp;file=Colbert%20Diff%20between%20Classified%20Documents%20Biden%20vs.%20Trump.md","Colbert Diff between Classified Documents Biden vs. Trump")</f>
        <v>Colbert Diff between Classified Documents Biden vs. Trump</v>
      </c>
      <c r="L951" s="20" t="s">
        <v>175</v>
      </c>
      <c r="M951" s="4"/>
      <c r="N951" s="2" t="s">
        <v>127</v>
      </c>
      <c r="O951" s="2"/>
      <c r="P951" s="4">
        <v>1</v>
      </c>
      <c r="Q951" s="2" t="s">
        <v>1932</v>
      </c>
      <c r="R951" s="11">
        <f>SUBTOTAL(3,_xlfn.SINGLE(tbl_file[RowId]))</f>
        <v>1</v>
      </c>
    </row>
    <row r="952" spans="10:18">
      <c r="J952" s="4">
        <v>927</v>
      </c>
      <c r="K952" s="21" t="str">
        <f>HYPERLINK("obsidian://open?vault=o2&amp;file=Colbert%20Diff%20between%20Classified%20Documents%20Biden%20vs.%20Trump.md","Colbert Diff between Classified Documents Biden vs. Trump")</f>
        <v>Colbert Diff between Classified Documents Biden vs. Trump</v>
      </c>
      <c r="L952" s="20" t="s">
        <v>175</v>
      </c>
      <c r="M952" s="4"/>
      <c r="N952" s="2" t="s">
        <v>2606</v>
      </c>
      <c r="O952" s="2"/>
      <c r="P952" s="4">
        <v>3</v>
      </c>
      <c r="Q952" s="2" t="s">
        <v>2963</v>
      </c>
      <c r="R952" s="11">
        <f>SUBTOTAL(3,_xlfn.SINGLE(tbl_file[RowId]))</f>
        <v>1</v>
      </c>
    </row>
    <row r="953" spans="10:18">
      <c r="J953" s="4">
        <v>1910</v>
      </c>
      <c r="K953" s="21" t="str">
        <f>HYPERLINK("obsidian://open?vault=o2&amp;file=Colonoscopy%20Notes.md","Colonoscopy Notes")</f>
        <v>Colonoscopy Notes</v>
      </c>
      <c r="L953" s="20" t="s">
        <v>175</v>
      </c>
      <c r="M953" s="4"/>
      <c r="N953" s="2" t="s">
        <v>50</v>
      </c>
      <c r="O953" s="2"/>
      <c r="P953" s="4">
        <v>1</v>
      </c>
      <c r="Q953" s="2" t="s">
        <v>1452</v>
      </c>
      <c r="R953" s="11">
        <f>SUBTOTAL(3,_xlfn.SINGLE(tbl_file[RowId]))</f>
        <v>1</v>
      </c>
    </row>
    <row r="954" spans="10:18">
      <c r="J954" s="4">
        <v>1911</v>
      </c>
      <c r="K954" s="21" t="str">
        <f>HYPERLINK("obsidian://open?vault=o2&amp;file=Colonoscopy%20Notes.md","Colonoscopy Notes")</f>
        <v>Colonoscopy Notes</v>
      </c>
      <c r="L954" s="20" t="s">
        <v>175</v>
      </c>
      <c r="M954" s="4"/>
      <c r="N954" s="2" t="s">
        <v>127</v>
      </c>
      <c r="O954" s="2"/>
      <c r="P954" s="4">
        <v>1</v>
      </c>
      <c r="Q954" s="2" t="s">
        <v>1958</v>
      </c>
      <c r="R954" s="11">
        <f>SUBTOTAL(3,_xlfn.SINGLE(tbl_file[RowId]))</f>
        <v>1</v>
      </c>
    </row>
    <row r="955" spans="10:18">
      <c r="J955" s="4">
        <v>1912</v>
      </c>
      <c r="K955" s="21" t="str">
        <f>HYPERLINK("obsidian://open?vault=o2&amp;file=Colonoscopy%20Notes.md","Colonoscopy Notes")</f>
        <v>Colonoscopy Notes</v>
      </c>
      <c r="L955" s="20" t="s">
        <v>175</v>
      </c>
      <c r="M955" s="4"/>
      <c r="N955" s="2" t="s">
        <v>2606</v>
      </c>
      <c r="O955" s="2"/>
      <c r="P955" s="4">
        <v>4</v>
      </c>
      <c r="Q955" s="2" t="s">
        <v>2642</v>
      </c>
      <c r="R955" s="11">
        <f>SUBTOTAL(3,_xlfn.SINGLE(tbl_file[RowId]))</f>
        <v>1</v>
      </c>
    </row>
    <row r="956" spans="10:18">
      <c r="J956" s="4">
        <v>1913</v>
      </c>
      <c r="K956" s="21" t="str">
        <f>HYPERLINK("obsidian://open?vault=o2&amp;file=Colonoscopy%20Notes.md","Colonoscopy Notes")</f>
        <v>Colonoscopy Notes</v>
      </c>
      <c r="L956" s="20" t="s">
        <v>175</v>
      </c>
      <c r="M956" s="4"/>
      <c r="N956" s="2" t="s">
        <v>133</v>
      </c>
      <c r="O956" s="2"/>
      <c r="P956" s="4">
        <v>1</v>
      </c>
      <c r="Q956" s="2" t="s">
        <v>2614</v>
      </c>
      <c r="R956" s="11">
        <f>SUBTOTAL(3,_xlfn.SINGLE(tbl_file[RowId]))</f>
        <v>1</v>
      </c>
    </row>
    <row r="957" spans="10:18">
      <c r="J957" s="4">
        <v>1914</v>
      </c>
      <c r="K957" s="21" t="str">
        <f>HYPERLINK("obsidian://open?vault=o2&amp;file=Common%20cPanel%20Ports.md","Common cPanel Ports")</f>
        <v>Common cPanel Ports</v>
      </c>
      <c r="L957" s="20" t="s">
        <v>175</v>
      </c>
      <c r="M957" s="4"/>
      <c r="N957" s="2" t="s">
        <v>50</v>
      </c>
      <c r="O957" s="2"/>
      <c r="P957" s="4">
        <v>1</v>
      </c>
      <c r="Q957" s="2" t="s">
        <v>1454</v>
      </c>
      <c r="R957" s="11">
        <f>SUBTOTAL(3,_xlfn.SINGLE(tbl_file[RowId]))</f>
        <v>1</v>
      </c>
    </row>
    <row r="958" spans="10:18">
      <c r="J958" s="4">
        <v>1915</v>
      </c>
      <c r="K958" s="21" t="str">
        <f>HYPERLINK("obsidian://open?vault=o2&amp;file=Common%20cPanel%20Ports.md","Common cPanel Ports")</f>
        <v>Common cPanel Ports</v>
      </c>
      <c r="L958" s="20" t="s">
        <v>175</v>
      </c>
      <c r="M958" s="4"/>
      <c r="N958" s="2" t="s">
        <v>2606</v>
      </c>
      <c r="O958" s="2"/>
      <c r="P958" s="4">
        <v>2</v>
      </c>
      <c r="Q958" s="2" t="s">
        <v>3085</v>
      </c>
      <c r="R958" s="11">
        <f>SUBTOTAL(3,_xlfn.SINGLE(tbl_file[RowId]))</f>
        <v>1</v>
      </c>
    </row>
    <row r="959" spans="10:18">
      <c r="J959" s="4">
        <v>1916</v>
      </c>
      <c r="K959" s="21" t="str">
        <f>HYPERLINK("obsidian://open?vault=o2&amp;file=Common%20cPanel%20Ports.md","Common cPanel Ports")</f>
        <v>Common cPanel Ports</v>
      </c>
      <c r="L959" s="20" t="s">
        <v>175</v>
      </c>
      <c r="M959" s="4"/>
      <c r="N959" s="2" t="s">
        <v>133</v>
      </c>
      <c r="O959" s="2"/>
      <c r="P959" s="4">
        <v>1</v>
      </c>
      <c r="Q959" s="2" t="s">
        <v>2622</v>
      </c>
      <c r="R959" s="11">
        <f>SUBTOTAL(3,_xlfn.SINGLE(tbl_file[RowId]))</f>
        <v>1</v>
      </c>
    </row>
    <row r="960" spans="10:18">
      <c r="J960" s="4">
        <v>963</v>
      </c>
      <c r="K960" s="21" t="str">
        <f>HYPERLINK("obsidian://open?vault=o2&amp;file=Computer%20Cable%20Types.md","Computer Cable Types")</f>
        <v>Computer Cable Types</v>
      </c>
      <c r="L960" s="20" t="s">
        <v>175</v>
      </c>
      <c r="M960" s="4"/>
      <c r="N960" s="2" t="s">
        <v>48</v>
      </c>
      <c r="O960" s="2"/>
      <c r="P960" s="4">
        <v>23</v>
      </c>
      <c r="Q960" s="2" t="s">
        <v>2969</v>
      </c>
      <c r="R960" s="11">
        <f>SUBTOTAL(3,_xlfn.SINGLE(tbl_file[RowId]))</f>
        <v>1</v>
      </c>
    </row>
    <row r="961" spans="10:18">
      <c r="J961" s="4">
        <v>964</v>
      </c>
      <c r="K961" s="21" t="str">
        <f>HYPERLINK("obsidian://open?vault=o2&amp;file=Computer%20Cable%20Types.md","Computer Cable Types")</f>
        <v>Computer Cable Types</v>
      </c>
      <c r="L961" s="20" t="s">
        <v>175</v>
      </c>
      <c r="M961" s="4"/>
      <c r="N961" s="2" t="s">
        <v>50</v>
      </c>
      <c r="O961" s="2"/>
      <c r="P961" s="4">
        <v>2</v>
      </c>
      <c r="Q961" s="2" t="s">
        <v>2970</v>
      </c>
      <c r="R961" s="11">
        <f>SUBTOTAL(3,_xlfn.SINGLE(tbl_file[RowId]))</f>
        <v>1</v>
      </c>
    </row>
    <row r="962" spans="10:18">
      <c r="J962" s="4">
        <v>965</v>
      </c>
      <c r="K962" s="21" t="str">
        <f>HYPERLINK("obsidian://open?vault=o2&amp;file=Computer%20Cable%20Types.md","Computer Cable Types")</f>
        <v>Computer Cable Types</v>
      </c>
      <c r="L962" s="20" t="s">
        <v>175</v>
      </c>
      <c r="M962" s="4"/>
      <c r="N962" s="2" t="s">
        <v>127</v>
      </c>
      <c r="O962" s="2"/>
      <c r="P962" s="4">
        <v>1</v>
      </c>
      <c r="Q962" s="2" t="s">
        <v>1970</v>
      </c>
      <c r="R962" s="11">
        <f>SUBTOTAL(3,_xlfn.SINGLE(tbl_file[RowId]))</f>
        <v>1</v>
      </c>
    </row>
    <row r="963" spans="10:18">
      <c r="J963" s="4">
        <v>966</v>
      </c>
      <c r="K963" s="21" t="str">
        <f>HYPERLINK("obsidian://open?vault=o2&amp;file=Computer%20Cable%20Types.md","Computer Cable Types")</f>
        <v>Computer Cable Types</v>
      </c>
      <c r="L963" s="20" t="s">
        <v>175</v>
      </c>
      <c r="M963" s="4"/>
      <c r="N963" s="2" t="s">
        <v>2606</v>
      </c>
      <c r="O963" s="2"/>
      <c r="P963" s="4">
        <v>6</v>
      </c>
      <c r="Q963" s="2" t="s">
        <v>2971</v>
      </c>
      <c r="R963" s="11">
        <f>SUBTOTAL(3,_xlfn.SINGLE(tbl_file[RowId]))</f>
        <v>1</v>
      </c>
    </row>
    <row r="964" spans="10:18">
      <c r="J964" s="4">
        <v>967</v>
      </c>
      <c r="K964" s="21" t="str">
        <f>HYPERLINK("obsidian://open?vault=o2&amp;file=Computer%20Cable%20Types.md","Computer Cable Types")</f>
        <v>Computer Cable Types</v>
      </c>
      <c r="L964" s="20" t="s">
        <v>175</v>
      </c>
      <c r="M964" s="4"/>
      <c r="N964" s="2" t="s">
        <v>133</v>
      </c>
      <c r="O964" s="2"/>
      <c r="P964" s="4">
        <v>1</v>
      </c>
      <c r="Q964" s="2" t="s">
        <v>2107</v>
      </c>
      <c r="R964" s="11">
        <f>SUBTOTAL(3,_xlfn.SINGLE(tbl_file[RowId]))</f>
        <v>1</v>
      </c>
    </row>
    <row r="965" spans="10:18">
      <c r="J965" s="4">
        <v>426</v>
      </c>
      <c r="K965" s="21" t="str">
        <f t="shared" ref="K965:K970" si="16">HYPERLINK("obsidian://open?vault=o2&amp;file=cPanel%20Alternatives.md","cPanel Alternatives")</f>
        <v>cPanel Alternatives</v>
      </c>
      <c r="L965" s="20" t="s">
        <v>175</v>
      </c>
      <c r="M965" s="4"/>
      <c r="N965" s="2" t="s">
        <v>12</v>
      </c>
      <c r="O965" s="2"/>
      <c r="P965" s="4">
        <v>1</v>
      </c>
      <c r="Q965" s="2" t="s">
        <v>264</v>
      </c>
      <c r="R965" s="11">
        <f>SUBTOTAL(3,_xlfn.SINGLE(tbl_file[RowId]))</f>
        <v>1</v>
      </c>
    </row>
    <row r="966" spans="10:18">
      <c r="J966" s="4">
        <v>427</v>
      </c>
      <c r="K966" s="21" t="str">
        <f t="shared" si="16"/>
        <v>cPanel Alternatives</v>
      </c>
      <c r="L966" s="20" t="s">
        <v>175</v>
      </c>
      <c r="M966" s="4"/>
      <c r="N966" s="2" t="s">
        <v>118</v>
      </c>
      <c r="O966" s="2"/>
      <c r="P966" s="4">
        <v>1</v>
      </c>
      <c r="Q966" s="2" t="s">
        <v>1558</v>
      </c>
      <c r="R966" s="11">
        <f>SUBTOTAL(3,_xlfn.SINGLE(tbl_file[RowId]))</f>
        <v>1</v>
      </c>
    </row>
    <row r="967" spans="10:18">
      <c r="J967" s="4">
        <v>428</v>
      </c>
      <c r="K967" s="21" t="str">
        <f t="shared" si="16"/>
        <v>cPanel Alternatives</v>
      </c>
      <c r="L967" s="20" t="s">
        <v>175</v>
      </c>
      <c r="M967" s="4"/>
      <c r="N967" s="2" t="s">
        <v>127</v>
      </c>
      <c r="O967" s="2"/>
      <c r="P967" s="4">
        <v>1</v>
      </c>
      <c r="Q967" s="2" t="s">
        <v>1960</v>
      </c>
      <c r="R967" s="11">
        <f>SUBTOTAL(3,_xlfn.SINGLE(tbl_file[RowId]))</f>
        <v>1</v>
      </c>
    </row>
    <row r="968" spans="10:18">
      <c r="J968" s="4">
        <v>429</v>
      </c>
      <c r="K968" s="21" t="str">
        <f t="shared" si="16"/>
        <v>cPanel Alternatives</v>
      </c>
      <c r="L968" s="20" t="s">
        <v>175</v>
      </c>
      <c r="M968" s="4"/>
      <c r="N968" s="2" t="s">
        <v>2606</v>
      </c>
      <c r="O968" s="2"/>
      <c r="P968" s="4">
        <v>2</v>
      </c>
      <c r="Q968" s="2" t="s">
        <v>2684</v>
      </c>
      <c r="R968" s="11">
        <f>SUBTOTAL(3,_xlfn.SINGLE(tbl_file[RowId]))</f>
        <v>1</v>
      </c>
    </row>
    <row r="969" spans="10:18">
      <c r="J969" s="4">
        <v>430</v>
      </c>
      <c r="K969" s="21" t="str">
        <f t="shared" si="16"/>
        <v>cPanel Alternatives</v>
      </c>
      <c r="L969" s="20" t="s">
        <v>175</v>
      </c>
      <c r="M969" s="4"/>
      <c r="N969" s="2" t="s">
        <v>133</v>
      </c>
      <c r="O969" s="2"/>
      <c r="P969" s="4">
        <v>1</v>
      </c>
      <c r="Q969" s="2" t="s">
        <v>2111</v>
      </c>
      <c r="R969" s="11">
        <f>SUBTOTAL(3,_xlfn.SINGLE(tbl_file[RowId]))</f>
        <v>1</v>
      </c>
    </row>
    <row r="970" spans="10:18">
      <c r="J970" s="4">
        <v>431</v>
      </c>
      <c r="K970" s="21" t="str">
        <f t="shared" si="16"/>
        <v>cPanel Alternatives</v>
      </c>
      <c r="L970" s="20" t="s">
        <v>175</v>
      </c>
      <c r="M970" s="4" t="s">
        <v>2626</v>
      </c>
      <c r="N970" s="2" t="s">
        <v>2606</v>
      </c>
      <c r="O970" s="2"/>
      <c r="P970" s="4">
        <v>12</v>
      </c>
      <c r="Q970" s="2" t="s">
        <v>2685</v>
      </c>
      <c r="R970" s="11">
        <f>SUBTOTAL(3,_xlfn.SINGLE(tbl_file[RowId]))</f>
        <v>1</v>
      </c>
    </row>
    <row r="971" spans="10:18">
      <c r="J971" s="4">
        <v>472</v>
      </c>
      <c r="K971" s="21" t="str">
        <f>HYPERLINK("obsidian://open?vault=o2&amp;file=Create%20Linode%20Instance.md","Create Linode Instance")</f>
        <v>Create Linode Instance</v>
      </c>
      <c r="L971" s="20" t="s">
        <v>175</v>
      </c>
      <c r="M971" s="4"/>
      <c r="N971" s="2" t="s">
        <v>50</v>
      </c>
      <c r="O971" s="2"/>
      <c r="P971" s="4">
        <v>1</v>
      </c>
      <c r="Q971" s="2" t="s">
        <v>1558</v>
      </c>
      <c r="R971" s="11">
        <f>SUBTOTAL(3,_xlfn.SINGLE(tbl_file[RowId]))</f>
        <v>1</v>
      </c>
    </row>
    <row r="972" spans="10:18">
      <c r="J972" s="4">
        <v>473</v>
      </c>
      <c r="K972" s="21" t="str">
        <f>HYPERLINK("obsidian://open?vault=o2&amp;file=Create%20Linode%20Instance.md","Create Linode Instance")</f>
        <v>Create Linode Instance</v>
      </c>
      <c r="L972" s="20" t="s">
        <v>175</v>
      </c>
      <c r="M972" s="4"/>
      <c r="N972" s="2" t="s">
        <v>127</v>
      </c>
      <c r="O972" s="2"/>
      <c r="P972" s="4">
        <v>1</v>
      </c>
      <c r="Q972" s="2" t="s">
        <v>1960</v>
      </c>
      <c r="R972" s="11">
        <f>SUBTOTAL(3,_xlfn.SINGLE(tbl_file[RowId]))</f>
        <v>1</v>
      </c>
    </row>
    <row r="973" spans="10:18">
      <c r="J973" s="4">
        <v>474</v>
      </c>
      <c r="K973" s="21" t="str">
        <f>HYPERLINK("obsidian://open?vault=o2&amp;file=Create%20Linode%20Instance.md","Create Linode Instance")</f>
        <v>Create Linode Instance</v>
      </c>
      <c r="L973" s="20" t="s">
        <v>175</v>
      </c>
      <c r="M973" s="4"/>
      <c r="N973" s="2" t="s">
        <v>2606</v>
      </c>
      <c r="O973" s="2"/>
      <c r="P973" s="4">
        <v>1</v>
      </c>
      <c r="Q973" s="2" t="s">
        <v>2395</v>
      </c>
      <c r="R973" s="11">
        <f>SUBTOTAL(3,_xlfn.SINGLE(tbl_file[RowId]))</f>
        <v>1</v>
      </c>
    </row>
    <row r="974" spans="10:18">
      <c r="J974" s="4">
        <v>475</v>
      </c>
      <c r="K974" s="21" t="str">
        <f>HYPERLINK("obsidian://open?vault=o2&amp;file=Create%20Linode%20Instance.md","Create Linode Instance")</f>
        <v>Create Linode Instance</v>
      </c>
      <c r="L974" s="20" t="s">
        <v>175</v>
      </c>
      <c r="M974" s="4"/>
      <c r="N974" s="2" t="s">
        <v>133</v>
      </c>
      <c r="O974" s="2"/>
      <c r="P974" s="4">
        <v>1</v>
      </c>
      <c r="Q974" s="2" t="s">
        <v>2111</v>
      </c>
      <c r="R974" s="11">
        <f>SUBTOTAL(3,_xlfn.SINGLE(tbl_file[RowId]))</f>
        <v>1</v>
      </c>
    </row>
    <row r="975" spans="10:18">
      <c r="J975" s="4">
        <v>1917</v>
      </c>
      <c r="K975" s="21" t="str">
        <f>HYPERLINK("obsidian://open?vault=o2&amp;file=Creating%20and%20tracking%20your%20own%20habits%20and%20statistics.md","Creating and tracking your own habits and statistics")</f>
        <v>Creating and tracking your own habits and statistics</v>
      </c>
      <c r="L975" s="20" t="s">
        <v>175</v>
      </c>
      <c r="M975" s="4"/>
      <c r="N975" s="2" t="s">
        <v>50</v>
      </c>
      <c r="O975" s="2"/>
      <c r="P975" s="4">
        <v>2</v>
      </c>
      <c r="Q975" s="2" t="s">
        <v>3086</v>
      </c>
      <c r="R975" s="11">
        <f>SUBTOTAL(3,_xlfn.SINGLE(tbl_file[RowId]))</f>
        <v>1</v>
      </c>
    </row>
    <row r="976" spans="10:18">
      <c r="J976" s="4">
        <v>1918</v>
      </c>
      <c r="K976" s="21" t="str">
        <f>HYPERLINK("obsidian://open?vault=o2&amp;file=Creating%20and%20tracking%20your%20own%20habits%20and%20statistics.md","Creating and tracking your own habits and statistics")</f>
        <v>Creating and tracking your own habits and statistics</v>
      </c>
      <c r="L976" s="20" t="s">
        <v>175</v>
      </c>
      <c r="M976" s="4"/>
      <c r="N976" s="2" t="s">
        <v>127</v>
      </c>
      <c r="O976" s="2"/>
      <c r="P976" s="4">
        <v>1</v>
      </c>
      <c r="Q976" s="2" t="s">
        <v>1958</v>
      </c>
      <c r="R976" s="11">
        <f>SUBTOTAL(3,_xlfn.SINGLE(tbl_file[RowId]))</f>
        <v>1</v>
      </c>
    </row>
    <row r="977" spans="10:18">
      <c r="J977" s="4">
        <v>1919</v>
      </c>
      <c r="K977" s="21" t="str">
        <f>HYPERLINK("obsidian://open?vault=o2&amp;file=Creating%20and%20tracking%20your%20own%20habits%20and%20statistics.md","Creating and tracking your own habits and statistics")</f>
        <v>Creating and tracking your own habits and statistics</v>
      </c>
      <c r="L977" s="20" t="s">
        <v>175</v>
      </c>
      <c r="M977" s="4"/>
      <c r="N977" s="2" t="s">
        <v>129</v>
      </c>
      <c r="O977" s="2"/>
      <c r="P977" s="4">
        <v>1</v>
      </c>
      <c r="Q977" s="2" t="s">
        <v>1430</v>
      </c>
      <c r="R977" s="11">
        <f>SUBTOTAL(3,_xlfn.SINGLE(tbl_file[RowId]))</f>
        <v>1</v>
      </c>
    </row>
    <row r="978" spans="10:18">
      <c r="J978" s="4">
        <v>1920</v>
      </c>
      <c r="K978" s="21" t="str">
        <f>HYPERLINK("obsidian://open?vault=o2&amp;file=Creating%20and%20tracking%20your%20own%20habits%20and%20statistics.md","Creating and tracking your own habits and statistics")</f>
        <v>Creating and tracking your own habits and statistics</v>
      </c>
      <c r="L978" s="20" t="s">
        <v>175</v>
      </c>
      <c r="M978" s="4"/>
      <c r="N978" s="2" t="s">
        <v>2606</v>
      </c>
      <c r="O978" s="2"/>
      <c r="P978" s="4">
        <v>2</v>
      </c>
      <c r="Q978" s="2" t="s">
        <v>3087</v>
      </c>
      <c r="R978" s="11">
        <f>SUBTOTAL(3,_xlfn.SINGLE(tbl_file[RowId]))</f>
        <v>1</v>
      </c>
    </row>
    <row r="979" spans="10:18">
      <c r="J979" s="4">
        <v>1921</v>
      </c>
      <c r="K979" s="21" t="str">
        <f>HYPERLINK("obsidian://open?vault=o2&amp;file=Customize%20Callouts%20and%20Icons.md","Customize Callouts and Icons")</f>
        <v>Customize Callouts and Icons</v>
      </c>
      <c r="L979" s="20" t="s">
        <v>175</v>
      </c>
      <c r="M979" s="4"/>
      <c r="N979" s="2" t="s">
        <v>2606</v>
      </c>
      <c r="O979" s="2"/>
      <c r="P979" s="4">
        <v>1</v>
      </c>
      <c r="Q979" s="2" t="s">
        <v>2464</v>
      </c>
      <c r="R979" s="11">
        <f>SUBTOTAL(3,_xlfn.SINGLE(tbl_file[RowId]))</f>
        <v>1</v>
      </c>
    </row>
    <row r="980" spans="10:18">
      <c r="J980" s="4">
        <v>2571</v>
      </c>
      <c r="K980" s="21" t="str">
        <f>HYPERLINK("obsidian://open?vault=o2&amp;file=Daily%20Copy%20Template.md","Daily Copy Template")</f>
        <v>Daily Copy Template</v>
      </c>
      <c r="L980" s="20" t="s">
        <v>175</v>
      </c>
      <c r="M980" s="4"/>
      <c r="N980" s="2" t="s">
        <v>2606</v>
      </c>
      <c r="O980" s="2"/>
      <c r="P980" s="4">
        <v>1</v>
      </c>
      <c r="Q980" s="2" t="s">
        <v>2317</v>
      </c>
      <c r="R980" s="11">
        <f>SUBTOTAL(3,_xlfn.SINGLE(tbl_file[RowId]))</f>
        <v>1</v>
      </c>
    </row>
    <row r="981" spans="10:18">
      <c r="J981" s="4">
        <v>2572</v>
      </c>
      <c r="K981" s="21" t="str">
        <f>HYPERLINK("obsidian://open?vault=o2&amp;file=Daily%20Copy%20Template.md","Daily Copy Template")</f>
        <v>Daily Copy Template</v>
      </c>
      <c r="L981" s="20" t="s">
        <v>175</v>
      </c>
      <c r="M981" s="4"/>
      <c r="N981" s="2" t="s">
        <v>133</v>
      </c>
      <c r="O981" s="2" t="s">
        <v>2637</v>
      </c>
      <c r="P981" s="4">
        <v>1</v>
      </c>
      <c r="Q981" s="2" t="s">
        <v>2138</v>
      </c>
      <c r="R981" s="11">
        <f>SUBTOTAL(3,_xlfn.SINGLE(tbl_file[RowId]))</f>
        <v>1</v>
      </c>
    </row>
    <row r="982" spans="10:18">
      <c r="J982" s="4">
        <v>2573</v>
      </c>
      <c r="K982" s="21" t="str">
        <f>HYPERLINK("obsidian://open?vault=o2&amp;file=Daily%20Copy2%20Template.md","Daily Copy2 Template")</f>
        <v>Daily Copy2 Template</v>
      </c>
      <c r="L982" s="20" t="s">
        <v>175</v>
      </c>
      <c r="M982" s="4"/>
      <c r="N982" s="2" t="s">
        <v>2606</v>
      </c>
      <c r="O982" s="2"/>
      <c r="P982" s="4">
        <v>1</v>
      </c>
      <c r="Q982" s="2" t="s">
        <v>2317</v>
      </c>
      <c r="R982" s="11">
        <f>SUBTOTAL(3,_xlfn.SINGLE(tbl_file[RowId]))</f>
        <v>1</v>
      </c>
    </row>
    <row r="983" spans="10:18">
      <c r="J983" s="4">
        <v>2574</v>
      </c>
      <c r="K983" s="21" t="str">
        <f>HYPERLINK("obsidian://open?vault=o2&amp;file=Daily%20Copy2%20Template.md","Daily Copy2 Template")</f>
        <v>Daily Copy2 Template</v>
      </c>
      <c r="L983" s="20" t="s">
        <v>175</v>
      </c>
      <c r="M983" s="4"/>
      <c r="N983" s="2" t="s">
        <v>133</v>
      </c>
      <c r="O983" s="2" t="s">
        <v>2637</v>
      </c>
      <c r="P983" s="4">
        <v>1</v>
      </c>
      <c r="Q983" s="2" t="s">
        <v>2129</v>
      </c>
      <c r="R983" s="11">
        <f>SUBTOTAL(3,_xlfn.SINGLE(tbl_file[RowId]))</f>
        <v>1</v>
      </c>
    </row>
    <row r="984" spans="10:18">
      <c r="J984" s="4">
        <v>372</v>
      </c>
      <c r="K984" s="21" t="str">
        <f>HYPERLINK("obsidian://open?vault=o2&amp;file=Daily%20Prayers.md","Daily Prayers")</f>
        <v>Daily Prayers</v>
      </c>
      <c r="L984" s="20" t="s">
        <v>175</v>
      </c>
      <c r="M984" s="4"/>
      <c r="N984" s="2" t="s">
        <v>50</v>
      </c>
      <c r="O984" s="2"/>
      <c r="P984" s="4">
        <v>2</v>
      </c>
      <c r="Q984" s="2" t="s">
        <v>2671</v>
      </c>
      <c r="R984" s="11">
        <f>SUBTOTAL(3,_xlfn.SINGLE(tbl_file[RowId]))</f>
        <v>1</v>
      </c>
    </row>
    <row r="985" spans="10:18">
      <c r="J985" s="4">
        <v>373</v>
      </c>
      <c r="K985" s="21" t="str">
        <f>HYPERLINK("obsidian://open?vault=o2&amp;file=Daily%20Prayers.md","Daily Prayers")</f>
        <v>Daily Prayers</v>
      </c>
      <c r="L985" s="20" t="s">
        <v>175</v>
      </c>
      <c r="M985" s="4"/>
      <c r="N985" s="2" t="s">
        <v>127</v>
      </c>
      <c r="O985" s="2"/>
      <c r="P985" s="4">
        <v>1</v>
      </c>
      <c r="Q985" s="2" t="s">
        <v>1958</v>
      </c>
      <c r="R985" s="11">
        <f>SUBTOTAL(3,_xlfn.SINGLE(tbl_file[RowId]))</f>
        <v>1</v>
      </c>
    </row>
    <row r="986" spans="10:18">
      <c r="J986" s="4">
        <v>374</v>
      </c>
      <c r="K986" s="21" t="str">
        <f>HYPERLINK("obsidian://open?vault=o2&amp;file=Daily%20Prayers.md","Daily Prayers")</f>
        <v>Daily Prayers</v>
      </c>
      <c r="L986" s="20" t="s">
        <v>175</v>
      </c>
      <c r="M986" s="4"/>
      <c r="N986" s="2" t="s">
        <v>2606</v>
      </c>
      <c r="O986" s="2"/>
      <c r="P986" s="4">
        <v>3</v>
      </c>
      <c r="Q986" s="2" t="s">
        <v>2673</v>
      </c>
      <c r="R986" s="11">
        <f>SUBTOTAL(3,_xlfn.SINGLE(tbl_file[RowId]))</f>
        <v>1</v>
      </c>
    </row>
    <row r="987" spans="10:18">
      <c r="J987" s="4">
        <v>375</v>
      </c>
      <c r="K987" s="21" t="str">
        <f>HYPERLINK("obsidian://open?vault=o2&amp;file=Daily%20Prayers.md","Daily Prayers")</f>
        <v>Daily Prayers</v>
      </c>
      <c r="L987" s="20" t="s">
        <v>175</v>
      </c>
      <c r="M987" s="4"/>
      <c r="N987" s="2" t="s">
        <v>133</v>
      </c>
      <c r="O987" s="2"/>
      <c r="P987" s="4">
        <v>1</v>
      </c>
      <c r="Q987" s="2" t="s">
        <v>2122</v>
      </c>
      <c r="R987" s="11">
        <f>SUBTOTAL(3,_xlfn.SINGLE(tbl_file[RowId]))</f>
        <v>1</v>
      </c>
    </row>
    <row r="988" spans="10:18">
      <c r="J988" s="4">
        <v>376</v>
      </c>
      <c r="K988" s="21" t="str">
        <f>HYPERLINK("obsidian://open?vault=o2&amp;file=Daily%20Prayers.md","Daily Prayers")</f>
        <v>Daily Prayers</v>
      </c>
      <c r="L988" s="20" t="s">
        <v>175</v>
      </c>
      <c r="M988" s="4" t="s">
        <v>2626</v>
      </c>
      <c r="N988" s="2" t="s">
        <v>2606</v>
      </c>
      <c r="O988" s="2"/>
      <c r="P988" s="4">
        <v>4</v>
      </c>
      <c r="Q988" s="2" t="s">
        <v>2674</v>
      </c>
      <c r="R988" s="11">
        <f>SUBTOTAL(3,_xlfn.SINGLE(tbl_file[RowId]))</f>
        <v>1</v>
      </c>
    </row>
    <row r="989" spans="10:18">
      <c r="J989" s="4">
        <v>2575</v>
      </c>
      <c r="K989" s="21" t="str">
        <f>HYPERLINK("obsidian://open?vault=o2&amp;file=Daily%20Template.md","Daily Template")</f>
        <v>Daily Template</v>
      </c>
      <c r="L989" s="20" t="s">
        <v>175</v>
      </c>
      <c r="M989" s="4"/>
      <c r="N989" s="2" t="s">
        <v>21</v>
      </c>
      <c r="O989" s="2"/>
      <c r="P989" s="4">
        <v>2</v>
      </c>
      <c r="Q989" s="2" t="s">
        <v>2644</v>
      </c>
      <c r="R989" s="11">
        <f>SUBTOTAL(3,_xlfn.SINGLE(tbl_file[RowId]))</f>
        <v>1</v>
      </c>
    </row>
    <row r="990" spans="10:18">
      <c r="J990" s="4">
        <v>2576</v>
      </c>
      <c r="K990" s="21" t="str">
        <f>HYPERLINK("obsidian://open?vault=o2&amp;file=Daily%20Template.md","Daily Template")</f>
        <v>Daily Template</v>
      </c>
      <c r="L990" s="20" t="s">
        <v>175</v>
      </c>
      <c r="M990" s="4"/>
      <c r="N990" s="2" t="s">
        <v>35</v>
      </c>
      <c r="O990" s="2" t="s">
        <v>2704</v>
      </c>
      <c r="P990" s="4">
        <v>1</v>
      </c>
      <c r="Q990" s="2" t="s">
        <v>557</v>
      </c>
      <c r="R990" s="11">
        <f>SUBTOTAL(3,_xlfn.SINGLE(tbl_file[RowId]))</f>
        <v>1</v>
      </c>
    </row>
    <row r="991" spans="10:18">
      <c r="J991" s="4">
        <v>2577</v>
      </c>
      <c r="K991" s="21" t="str">
        <f>HYPERLINK("obsidian://open?vault=o2&amp;file=Daily%20Template.md","Daily Template")</f>
        <v>Daily Template</v>
      </c>
      <c r="L991" s="20" t="s">
        <v>175</v>
      </c>
      <c r="M991" s="4"/>
      <c r="N991" s="2" t="s">
        <v>2606</v>
      </c>
      <c r="O991" s="2"/>
      <c r="P991" s="4">
        <v>2</v>
      </c>
      <c r="Q991" s="2" t="s">
        <v>2705</v>
      </c>
      <c r="R991" s="11">
        <f>SUBTOTAL(3,_xlfn.SINGLE(tbl_file[RowId]))</f>
        <v>1</v>
      </c>
    </row>
    <row r="992" spans="10:18">
      <c r="J992" s="4">
        <v>2578</v>
      </c>
      <c r="K992" s="21" t="str">
        <f>HYPERLINK("obsidian://open?vault=o2&amp;file=Daily%20Template.md","Daily Template")</f>
        <v>Daily Template</v>
      </c>
      <c r="L992" s="20" t="s">
        <v>175</v>
      </c>
      <c r="M992" s="4"/>
      <c r="N992" s="2" t="s">
        <v>133</v>
      </c>
      <c r="O992" s="2" t="s">
        <v>2637</v>
      </c>
      <c r="P992" s="4">
        <v>1</v>
      </c>
      <c r="Q992" s="2" t="s">
        <v>2102</v>
      </c>
      <c r="R992" s="11">
        <f>SUBTOTAL(3,_xlfn.SINGLE(tbl_file[RowId]))</f>
        <v>1</v>
      </c>
    </row>
    <row r="993" spans="10:18">
      <c r="J993" s="4">
        <v>2579</v>
      </c>
      <c r="K993" s="21" t="str">
        <f>HYPERLINK("obsidian://open?vault=o2&amp;file=Daily%20Template_bup.md","Daily Template_bup")</f>
        <v>Daily Template_bup</v>
      </c>
      <c r="L993" s="20" t="s">
        <v>175</v>
      </c>
      <c r="M993" s="4"/>
      <c r="N993" s="2" t="s">
        <v>35</v>
      </c>
      <c r="O993" s="2" t="s">
        <v>2704</v>
      </c>
      <c r="P993" s="4">
        <v>1</v>
      </c>
      <c r="Q993" s="2" t="s">
        <v>557</v>
      </c>
      <c r="R993" s="11">
        <f>SUBTOTAL(3,_xlfn.SINGLE(tbl_file[RowId]))</f>
        <v>1</v>
      </c>
    </row>
    <row r="994" spans="10:18">
      <c r="J994" s="4">
        <v>2580</v>
      </c>
      <c r="K994" s="21" t="str">
        <f>HYPERLINK("obsidian://open?vault=o2&amp;file=Daily%20Template_bup.md","Daily Template_bup")</f>
        <v>Daily Template_bup</v>
      </c>
      <c r="L994" s="20" t="s">
        <v>175</v>
      </c>
      <c r="M994" s="4"/>
      <c r="N994" s="2" t="s">
        <v>2606</v>
      </c>
      <c r="O994" s="2"/>
      <c r="P994" s="4">
        <v>1</v>
      </c>
      <c r="Q994" s="2" t="s">
        <v>2317</v>
      </c>
      <c r="R994" s="11">
        <f>SUBTOTAL(3,_xlfn.SINGLE(tbl_file[RowId]))</f>
        <v>1</v>
      </c>
    </row>
    <row r="995" spans="10:18">
      <c r="J995" s="4">
        <v>2581</v>
      </c>
      <c r="K995" s="21" t="str">
        <f>HYPERLINK("obsidian://open?vault=o2&amp;file=Daily%20Template_bup.md","Daily Template_bup")</f>
        <v>Daily Template_bup</v>
      </c>
      <c r="L995" s="20" t="s">
        <v>175</v>
      </c>
      <c r="M995" s="4"/>
      <c r="N995" s="2" t="s">
        <v>133</v>
      </c>
      <c r="O995" s="2" t="s">
        <v>2637</v>
      </c>
      <c r="P995" s="4">
        <v>1</v>
      </c>
      <c r="Q995" s="2" t="s">
        <v>2109</v>
      </c>
      <c r="R995" s="11">
        <f>SUBTOTAL(3,_xlfn.SINGLE(tbl_file[RowId]))</f>
        <v>1</v>
      </c>
    </row>
    <row r="996" spans="10:18">
      <c r="J996" s="4">
        <v>1923</v>
      </c>
      <c r="K996" s="21" t="str">
        <f>HYPERLINK("obsidian://open?vault=o2&amp;file=Dataview%20cheat%20sheet.md","Dataview cheat sheet")</f>
        <v>Dataview cheat sheet</v>
      </c>
      <c r="L996" s="20" t="s">
        <v>175</v>
      </c>
      <c r="M996" s="4"/>
      <c r="N996" s="2" t="s">
        <v>50</v>
      </c>
      <c r="O996" s="2"/>
      <c r="P996" s="4">
        <v>1</v>
      </c>
      <c r="Q996" s="2" t="s">
        <v>1460</v>
      </c>
      <c r="R996" s="11">
        <f>SUBTOTAL(3,_xlfn.SINGLE(tbl_file[RowId]))</f>
        <v>1</v>
      </c>
    </row>
    <row r="997" spans="10:18">
      <c r="J997" s="4">
        <v>1924</v>
      </c>
      <c r="K997" s="21" t="str">
        <f>HYPERLINK("obsidian://open?vault=o2&amp;file=Dataview%20cheat%20sheet.md","Dataview cheat sheet")</f>
        <v>Dataview cheat sheet</v>
      </c>
      <c r="L997" s="20" t="s">
        <v>175</v>
      </c>
      <c r="M997" s="4" t="s">
        <v>2626</v>
      </c>
      <c r="N997" s="2" t="s">
        <v>2606</v>
      </c>
      <c r="O997" s="2"/>
      <c r="P997" s="4">
        <v>1</v>
      </c>
      <c r="Q997" s="2" t="s">
        <v>2501</v>
      </c>
      <c r="R997" s="11">
        <f>SUBTOTAL(3,_xlfn.SINGLE(tbl_file[RowId]))</f>
        <v>1</v>
      </c>
    </row>
    <row r="998" spans="10:18">
      <c r="J998" s="4">
        <v>1922</v>
      </c>
      <c r="K998" s="21" t="str">
        <f>HYPERLINK("obsidian://open?vault=o2&amp;file=Dataview%20Console%20Log%20Debugging%20Script.md","Dataview Console Log Debugging Script")</f>
        <v>Dataview Console Log Debugging Script</v>
      </c>
      <c r="L998" s="20" t="s">
        <v>175</v>
      </c>
      <c r="M998" s="4"/>
      <c r="N998" s="2" t="s">
        <v>133</v>
      </c>
      <c r="O998" s="2"/>
      <c r="P998" s="4">
        <v>1</v>
      </c>
      <c r="Q998" s="2" t="s">
        <v>2693</v>
      </c>
      <c r="R998" s="11">
        <f>SUBTOTAL(3,_xlfn.SINGLE(tbl_file[RowId]))</f>
        <v>1</v>
      </c>
    </row>
    <row r="999" spans="10:18">
      <c r="J999" s="4">
        <v>1112</v>
      </c>
      <c r="K999" s="21" t="str">
        <f>HYPERLINK("obsidian://open?vault=o2&amp;file=DATAVIEW%20Obsidian%20Plugin-%20Checklist.md","DATAVIEW Obsidian Plugin- Checklist")</f>
        <v>DATAVIEW Obsidian Plugin- Checklist</v>
      </c>
      <c r="L999" s="20" t="s">
        <v>175</v>
      </c>
      <c r="M999" s="4"/>
      <c r="N999" s="2" t="s">
        <v>133</v>
      </c>
      <c r="O999" s="2"/>
      <c r="P999" s="4">
        <v>1</v>
      </c>
      <c r="Q999" s="2" t="s">
        <v>2693</v>
      </c>
      <c r="R999" s="11">
        <f>SUBTOTAL(3,_xlfn.SINGLE(tbl_file[RowId]))</f>
        <v>1</v>
      </c>
    </row>
    <row r="1000" spans="10:18">
      <c r="J1000" s="4">
        <v>1113</v>
      </c>
      <c r="K1000" s="21" t="str">
        <f>HYPERLINK("obsidian://open?vault=o2&amp;file=DATAVIEW%20Obsidian%20Plugin-%20Checklist.md","DATAVIEW Obsidian Plugin- Checklist")</f>
        <v>DATAVIEW Obsidian Plugin- Checklist</v>
      </c>
      <c r="L1000" s="20" t="s">
        <v>175</v>
      </c>
      <c r="M1000" s="4" t="s">
        <v>2626</v>
      </c>
      <c r="N1000" s="2" t="s">
        <v>2606</v>
      </c>
      <c r="O1000" s="2"/>
      <c r="P1000" s="4">
        <v>3</v>
      </c>
      <c r="Q1000" s="2" t="s">
        <v>2986</v>
      </c>
      <c r="R1000" s="11">
        <f>SUBTOTAL(3,_xlfn.SINGLE(tbl_file[RowId]))</f>
        <v>1</v>
      </c>
    </row>
    <row r="1001" spans="10:18">
      <c r="J1001" s="4">
        <v>215</v>
      </c>
      <c r="K1001" s="21" t="str">
        <f t="shared" ref="K1001:K1006" si="17">HYPERLINK("obsidian://open?vault=o2&amp;file=Dataview%20Toolkit%20by%20Paul%20Dickson%20SubVault.md","Dataview Toolkit by Paul Dickson SubVault")</f>
        <v>Dataview Toolkit by Paul Dickson SubVault</v>
      </c>
      <c r="L1001" s="20" t="s">
        <v>175</v>
      </c>
      <c r="M1001" s="4"/>
      <c r="N1001" s="2" t="s">
        <v>118</v>
      </c>
      <c r="O1001" s="2"/>
      <c r="P1001" s="4">
        <v>1</v>
      </c>
      <c r="Q1001" s="2" t="s">
        <v>1641</v>
      </c>
      <c r="R1001" s="11">
        <f>SUBTOTAL(3,_xlfn.SINGLE(tbl_file[RowId]))</f>
        <v>1</v>
      </c>
    </row>
    <row r="1002" spans="10:18">
      <c r="J1002" s="4">
        <v>216</v>
      </c>
      <c r="K1002" s="21" t="str">
        <f t="shared" si="17"/>
        <v>Dataview Toolkit by Paul Dickson SubVault</v>
      </c>
      <c r="L1002" s="20" t="s">
        <v>175</v>
      </c>
      <c r="M1002" s="4"/>
      <c r="N1002" s="2" t="s">
        <v>123</v>
      </c>
      <c r="O1002" s="2"/>
      <c r="P1002" s="4">
        <v>1</v>
      </c>
      <c r="Q1002" s="2" t="s">
        <v>1564</v>
      </c>
      <c r="R1002" s="11">
        <f>SUBTOTAL(3,_xlfn.SINGLE(tbl_file[RowId]))</f>
        <v>1</v>
      </c>
    </row>
    <row r="1003" spans="10:18">
      <c r="J1003" s="4">
        <v>217</v>
      </c>
      <c r="K1003" s="21" t="str">
        <f t="shared" si="17"/>
        <v>Dataview Toolkit by Paul Dickson SubVault</v>
      </c>
      <c r="L1003" s="20" t="s">
        <v>175</v>
      </c>
      <c r="M1003" s="4"/>
      <c r="N1003" s="2" t="s">
        <v>127</v>
      </c>
      <c r="O1003" s="2"/>
      <c r="P1003" s="4">
        <v>1</v>
      </c>
      <c r="Q1003" s="2" t="s">
        <v>1968</v>
      </c>
      <c r="R1003" s="11">
        <f>SUBTOTAL(3,_xlfn.SINGLE(tbl_file[RowId]))</f>
        <v>1</v>
      </c>
    </row>
    <row r="1004" spans="10:18">
      <c r="J1004" s="4">
        <v>218</v>
      </c>
      <c r="K1004" s="21" t="str">
        <f t="shared" si="17"/>
        <v>Dataview Toolkit by Paul Dickson SubVault</v>
      </c>
      <c r="L1004" s="20" t="s">
        <v>175</v>
      </c>
      <c r="M1004" s="4"/>
      <c r="N1004" s="2" t="s">
        <v>129</v>
      </c>
      <c r="O1004" s="2"/>
      <c r="P1004" s="4">
        <v>1</v>
      </c>
      <c r="Q1004" s="2" t="s">
        <v>1974</v>
      </c>
      <c r="R1004" s="11">
        <f>SUBTOTAL(3,_xlfn.SINGLE(tbl_file[RowId]))</f>
        <v>1</v>
      </c>
    </row>
    <row r="1005" spans="10:18">
      <c r="J1005" s="4">
        <v>219</v>
      </c>
      <c r="K1005" s="21" t="str">
        <f t="shared" si="17"/>
        <v>Dataview Toolkit by Paul Dickson SubVault</v>
      </c>
      <c r="L1005" s="20" t="s">
        <v>175</v>
      </c>
      <c r="M1005" s="4"/>
      <c r="N1005" s="2" t="s">
        <v>2606</v>
      </c>
      <c r="O1005" s="2"/>
      <c r="P1005" s="4">
        <v>5</v>
      </c>
      <c r="Q1005" s="2" t="s">
        <v>2649</v>
      </c>
      <c r="R1005" s="11">
        <f>SUBTOTAL(3,_xlfn.SINGLE(tbl_file[RowId]))</f>
        <v>1</v>
      </c>
    </row>
    <row r="1006" spans="10:18">
      <c r="J1006" s="4">
        <v>220</v>
      </c>
      <c r="K1006" s="21" t="str">
        <f t="shared" si="17"/>
        <v>Dataview Toolkit by Paul Dickson SubVault</v>
      </c>
      <c r="L1006" s="20" t="s">
        <v>175</v>
      </c>
      <c r="M1006" s="4"/>
      <c r="N1006" s="2" t="s">
        <v>133</v>
      </c>
      <c r="O1006" s="2"/>
      <c r="P1006" s="4">
        <v>1</v>
      </c>
      <c r="Q1006" s="2" t="s">
        <v>2622</v>
      </c>
      <c r="R1006" s="11">
        <f>SUBTOTAL(3,_xlfn.SINGLE(tbl_file[RowId]))</f>
        <v>1</v>
      </c>
    </row>
    <row r="1007" spans="10:18">
      <c r="J1007" s="4">
        <v>1925</v>
      </c>
      <c r="K1007" s="21" t="str">
        <f>HYPERLINK("obsidian://open?vault=o2&amp;file=DataviewJS.md","DataviewJS")</f>
        <v>DataviewJS</v>
      </c>
      <c r="L1007" s="20" t="s">
        <v>175</v>
      </c>
      <c r="M1007" s="4"/>
      <c r="N1007" s="2" t="s">
        <v>50</v>
      </c>
      <c r="O1007" s="2"/>
      <c r="P1007" s="4">
        <v>1</v>
      </c>
      <c r="Q1007" s="2" t="s">
        <v>1462</v>
      </c>
      <c r="R1007" s="11">
        <f>SUBTOTAL(3,_xlfn.SINGLE(tbl_file[RowId]))</f>
        <v>1</v>
      </c>
    </row>
    <row r="1008" spans="10:18">
      <c r="J1008" s="4">
        <v>1926</v>
      </c>
      <c r="K1008" s="21" t="str">
        <f>HYPERLINK("obsidian://open?vault=o2&amp;file=Dewey%20Decimal%20Classifications.md","Dewey Decimal Classifications")</f>
        <v>Dewey Decimal Classifications</v>
      </c>
      <c r="L1008" s="20" t="s">
        <v>175</v>
      </c>
      <c r="M1008" s="4"/>
      <c r="N1008" s="2" t="s">
        <v>2606</v>
      </c>
      <c r="O1008" s="2"/>
      <c r="P1008" s="4">
        <v>4</v>
      </c>
      <c r="Q1008" s="2" t="s">
        <v>3088</v>
      </c>
      <c r="R1008" s="11">
        <f>SUBTOTAL(3,_xlfn.SINGLE(tbl_file[RowId]))</f>
        <v>1</v>
      </c>
    </row>
    <row r="1009" spans="10:18">
      <c r="J1009" s="4">
        <v>968</v>
      </c>
      <c r="K1009" s="21" t="str">
        <f t="shared" ref="K1009:K1015" si="18">HYPERLINK("obsidian://open?vault=o2&amp;file=Do%20Yourself%20a%20Favor%20and%20Go%20Find%20a%20%E2%80%98Third%20Place%E2%80%99.md","Do Yourself a Favor and Go Find a ‘Third Place’")</f>
        <v>Do Yourself a Favor and Go Find a ‘Third Place’</v>
      </c>
      <c r="L1009" s="20" t="s">
        <v>175</v>
      </c>
      <c r="M1009" s="4"/>
      <c r="N1009" s="2" t="s">
        <v>33</v>
      </c>
      <c r="O1009" s="2"/>
      <c r="P1009" s="4">
        <v>1</v>
      </c>
      <c r="Q1009" s="2" t="s">
        <v>473</v>
      </c>
      <c r="R1009" s="11">
        <f>SUBTOTAL(3,_xlfn.SINGLE(tbl_file[RowId]))</f>
        <v>1</v>
      </c>
    </row>
    <row r="1010" spans="10:18">
      <c r="J1010" s="4">
        <v>969</v>
      </c>
      <c r="K1010" s="21" t="str">
        <f t="shared" si="18"/>
        <v>Do Yourself a Favor and Go Find a ‘Third Place’</v>
      </c>
      <c r="L1010" s="20" t="s">
        <v>175</v>
      </c>
      <c r="M1010" s="4"/>
      <c r="N1010" s="2" t="s">
        <v>46</v>
      </c>
      <c r="O1010" s="2"/>
      <c r="P1010" s="4">
        <v>1</v>
      </c>
      <c r="Q1010" s="2" t="s">
        <v>647</v>
      </c>
      <c r="R1010" s="11">
        <f>SUBTOTAL(3,_xlfn.SINGLE(tbl_file[RowId]))</f>
        <v>1</v>
      </c>
    </row>
    <row r="1011" spans="10:18">
      <c r="J1011" s="4">
        <v>970</v>
      </c>
      <c r="K1011" s="21" t="str">
        <f t="shared" si="18"/>
        <v>Do Yourself a Favor and Go Find a ‘Third Place’</v>
      </c>
      <c r="L1011" s="20" t="s">
        <v>175</v>
      </c>
      <c r="M1011" s="4"/>
      <c r="N1011" s="2" t="s">
        <v>50</v>
      </c>
      <c r="O1011" s="2"/>
      <c r="P1011" s="4">
        <v>1</v>
      </c>
      <c r="Q1011" s="2" t="s">
        <v>1680</v>
      </c>
      <c r="R1011" s="11">
        <f>SUBTOTAL(3,_xlfn.SINGLE(tbl_file[RowId]))</f>
        <v>1</v>
      </c>
    </row>
    <row r="1012" spans="10:18">
      <c r="J1012" s="4">
        <v>971</v>
      </c>
      <c r="K1012" s="21" t="str">
        <f t="shared" si="18"/>
        <v>Do Yourself a Favor and Go Find a ‘Third Place’</v>
      </c>
      <c r="L1012" s="20" t="s">
        <v>175</v>
      </c>
      <c r="M1012" s="4"/>
      <c r="N1012" s="2" t="s">
        <v>121</v>
      </c>
      <c r="O1012" s="2"/>
      <c r="P1012" s="4">
        <v>1</v>
      </c>
      <c r="Q1012" s="2" t="s">
        <v>1847</v>
      </c>
      <c r="R1012" s="11">
        <f>SUBTOTAL(3,_xlfn.SINGLE(tbl_file[RowId]))</f>
        <v>1</v>
      </c>
    </row>
    <row r="1013" spans="10:18">
      <c r="J1013" s="4">
        <v>972</v>
      </c>
      <c r="K1013" s="21" t="str">
        <f t="shared" si="18"/>
        <v>Do Yourself a Favor and Go Find a ‘Third Place’</v>
      </c>
      <c r="L1013" s="20" t="s">
        <v>175</v>
      </c>
      <c r="M1013" s="4"/>
      <c r="N1013" s="2" t="s">
        <v>2606</v>
      </c>
      <c r="O1013" s="2"/>
      <c r="P1013" s="4">
        <v>1</v>
      </c>
      <c r="Q1013" s="2" t="s">
        <v>2378</v>
      </c>
      <c r="R1013" s="11">
        <f>SUBTOTAL(3,_xlfn.SINGLE(tbl_file[RowId]))</f>
        <v>1</v>
      </c>
    </row>
    <row r="1014" spans="10:18">
      <c r="J1014" s="4">
        <v>973</v>
      </c>
      <c r="K1014" s="21" t="str">
        <f t="shared" si="18"/>
        <v>Do Yourself a Favor and Go Find a ‘Third Place’</v>
      </c>
      <c r="L1014" s="20" t="s">
        <v>175</v>
      </c>
      <c r="M1014" s="4"/>
      <c r="N1014" s="2" t="s">
        <v>132</v>
      </c>
      <c r="O1014" s="2"/>
      <c r="P1014" s="4">
        <v>1</v>
      </c>
      <c r="Q1014" s="2" t="s">
        <v>2039</v>
      </c>
      <c r="R1014" s="11">
        <f>SUBTOTAL(3,_xlfn.SINGLE(tbl_file[RowId]))</f>
        <v>1</v>
      </c>
    </row>
    <row r="1015" spans="10:18">
      <c r="J1015" s="4">
        <v>974</v>
      </c>
      <c r="K1015" s="21" t="str">
        <f t="shared" si="18"/>
        <v>Do Yourself a Favor and Go Find a ‘Third Place’</v>
      </c>
      <c r="L1015" s="20" t="s">
        <v>175</v>
      </c>
      <c r="M1015" s="4"/>
      <c r="N1015" s="2" t="s">
        <v>137</v>
      </c>
      <c r="O1015" s="2"/>
      <c r="P1015" s="4">
        <v>1</v>
      </c>
      <c r="Q1015" s="2" t="s">
        <v>2157</v>
      </c>
      <c r="R1015" s="11">
        <f>SUBTOTAL(3,_xlfn.SINGLE(tbl_file[RowId]))</f>
        <v>1</v>
      </c>
    </row>
    <row r="1016" spans="10:18">
      <c r="J1016" s="4">
        <v>593</v>
      </c>
      <c r="K1016" s="21" t="str">
        <f t="shared" ref="K1016:K1027" si="19">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L1016" s="20" t="s">
        <v>175</v>
      </c>
      <c r="M1016" s="4"/>
      <c r="N1016" s="2" t="s">
        <v>13</v>
      </c>
      <c r="O1016" s="2"/>
      <c r="P1016" s="4">
        <v>1</v>
      </c>
      <c r="Q1016" s="2" t="s">
        <v>334</v>
      </c>
      <c r="R1016" s="11">
        <f>SUBTOTAL(3,_xlfn.SINGLE(tbl_file[RowId]))</f>
        <v>1</v>
      </c>
    </row>
    <row r="1017" spans="10:18">
      <c r="J1017" s="4">
        <v>594</v>
      </c>
      <c r="K1017" s="21" t="str">
        <f t="shared" si="19"/>
        <v>Dont Eat It Out of a Box! New Pasta Trend is Taking Over The World and Its Absolutely Stunning!</v>
      </c>
      <c r="L1017" s="20" t="s">
        <v>175</v>
      </c>
      <c r="M1017" s="4"/>
      <c r="N1017" s="2" t="s">
        <v>16</v>
      </c>
      <c r="O1017" s="2"/>
      <c r="P1017" s="4">
        <v>1</v>
      </c>
      <c r="Q1017" s="2" t="s">
        <v>334</v>
      </c>
      <c r="R1017" s="11">
        <f>SUBTOTAL(3,_xlfn.SINGLE(tbl_file[RowId]))</f>
        <v>1</v>
      </c>
    </row>
    <row r="1018" spans="10:18">
      <c r="J1018" s="4">
        <v>595</v>
      </c>
      <c r="K1018" s="21" t="str">
        <f t="shared" si="19"/>
        <v>Dont Eat It Out of a Box! New Pasta Trend is Taking Over The World and Its Absolutely Stunning!</v>
      </c>
      <c r="L1018" s="20" t="s">
        <v>175</v>
      </c>
      <c r="M1018" s="4"/>
      <c r="N1018" s="2" t="s">
        <v>37</v>
      </c>
      <c r="O1018" s="2"/>
      <c r="P1018" s="4">
        <v>1</v>
      </c>
      <c r="Q1018" s="2" t="s">
        <v>589</v>
      </c>
      <c r="R1018" s="11">
        <f>SUBTOTAL(3,_xlfn.SINGLE(tbl_file[RowId]))</f>
        <v>1</v>
      </c>
    </row>
    <row r="1019" spans="10:18">
      <c r="J1019" s="4">
        <v>596</v>
      </c>
      <c r="K1019" s="21" t="str">
        <f t="shared" si="19"/>
        <v>Dont Eat It Out of a Box! New Pasta Trend is Taking Over The World and Its Absolutely Stunning!</v>
      </c>
      <c r="L1019" s="20" t="s">
        <v>175</v>
      </c>
      <c r="M1019" s="4"/>
      <c r="N1019" s="2" t="s">
        <v>45</v>
      </c>
      <c r="O1019" s="2"/>
      <c r="P1019" s="4">
        <v>1</v>
      </c>
      <c r="Q1019" s="2" t="s">
        <v>610</v>
      </c>
      <c r="R1019" s="11">
        <f>SUBTOTAL(3,_xlfn.SINGLE(tbl_file[RowId]))</f>
        <v>1</v>
      </c>
    </row>
    <row r="1020" spans="10:18">
      <c r="J1020" s="4">
        <v>597</v>
      </c>
      <c r="K1020" s="21" t="str">
        <f t="shared" si="19"/>
        <v>Dont Eat It Out of a Box! New Pasta Trend is Taking Over The World and Its Absolutely Stunning!</v>
      </c>
      <c r="L1020" s="20" t="s">
        <v>175</v>
      </c>
      <c r="M1020" s="4"/>
      <c r="N1020" s="2" t="s">
        <v>48</v>
      </c>
      <c r="O1020" s="2"/>
      <c r="P1020" s="4">
        <v>32</v>
      </c>
      <c r="Q1020" s="2" t="s">
        <v>2723</v>
      </c>
      <c r="R1020" s="11">
        <f>SUBTOTAL(3,_xlfn.SINGLE(tbl_file[RowId]))</f>
        <v>1</v>
      </c>
    </row>
    <row r="1021" spans="10:18">
      <c r="J1021" s="4">
        <v>598</v>
      </c>
      <c r="K1021" s="21" t="str">
        <f t="shared" si="19"/>
        <v>Dont Eat It Out of a Box! New Pasta Trend is Taking Over The World and Its Absolutely Stunning!</v>
      </c>
      <c r="L1021" s="20" t="s">
        <v>175</v>
      </c>
      <c r="M1021" s="4"/>
      <c r="N1021" s="2" t="s">
        <v>50</v>
      </c>
      <c r="O1021" s="2"/>
      <c r="P1021" s="4">
        <v>1</v>
      </c>
      <c r="Q1021" s="2" t="s">
        <v>1616</v>
      </c>
      <c r="R1021" s="11">
        <f>SUBTOTAL(3,_xlfn.SINGLE(tbl_file[RowId]))</f>
        <v>1</v>
      </c>
    </row>
    <row r="1022" spans="10:18">
      <c r="J1022" s="4">
        <v>599</v>
      </c>
      <c r="K1022" s="21" t="str">
        <f t="shared" si="19"/>
        <v>Dont Eat It Out of a Box! New Pasta Trend is Taking Over The World and Its Absolutely Stunning!</v>
      </c>
      <c r="L1022" s="20" t="s">
        <v>175</v>
      </c>
      <c r="M1022" s="4"/>
      <c r="N1022" s="2" t="s">
        <v>119</v>
      </c>
      <c r="O1022" s="2"/>
      <c r="P1022" s="4">
        <v>1</v>
      </c>
      <c r="Q1022" s="2" t="s">
        <v>2724</v>
      </c>
      <c r="R1022" s="11">
        <f>SUBTOTAL(3,_xlfn.SINGLE(tbl_file[RowId]))</f>
        <v>1</v>
      </c>
    </row>
    <row r="1023" spans="10:18">
      <c r="J1023" s="4">
        <v>600</v>
      </c>
      <c r="K1023" s="21" t="str">
        <f t="shared" si="19"/>
        <v>Dont Eat It Out of a Box! New Pasta Trend is Taking Over The World and Its Absolutely Stunning!</v>
      </c>
      <c r="L1023" s="20" t="s">
        <v>175</v>
      </c>
      <c r="M1023" s="4"/>
      <c r="N1023" s="2" t="s">
        <v>126</v>
      </c>
      <c r="O1023" s="2"/>
      <c r="P1023" s="4">
        <v>1</v>
      </c>
      <c r="Q1023" s="2" t="s">
        <v>2725</v>
      </c>
      <c r="R1023" s="11">
        <f>SUBTOTAL(3,_xlfn.SINGLE(tbl_file[RowId]))</f>
        <v>1</v>
      </c>
    </row>
    <row r="1024" spans="10:18">
      <c r="J1024" s="4">
        <v>601</v>
      </c>
      <c r="K1024" s="21" t="str">
        <f t="shared" si="19"/>
        <v>Dont Eat It Out of a Box! New Pasta Trend is Taking Over The World and Its Absolutely Stunning!</v>
      </c>
      <c r="L1024" s="20" t="s">
        <v>175</v>
      </c>
      <c r="M1024" s="4"/>
      <c r="N1024" s="14" t="s">
        <v>2726</v>
      </c>
      <c r="O1024" s="2"/>
      <c r="P1024" s="4">
        <v>2</v>
      </c>
      <c r="Q1024" s="2" t="s">
        <v>2727</v>
      </c>
      <c r="R1024" s="11">
        <f>SUBTOTAL(3,_xlfn.SINGLE(tbl_file[RowId]))</f>
        <v>1</v>
      </c>
    </row>
    <row r="1025" spans="10:18">
      <c r="J1025" s="4">
        <v>602</v>
      </c>
      <c r="K1025" s="21" t="str">
        <f t="shared" si="19"/>
        <v>Dont Eat It Out of a Box! New Pasta Trend is Taking Over The World and Its Absolutely Stunning!</v>
      </c>
      <c r="L1025" s="20" t="s">
        <v>175</v>
      </c>
      <c r="M1025" s="4"/>
      <c r="N1025" s="2" t="s">
        <v>131</v>
      </c>
      <c r="O1025" s="2"/>
      <c r="P1025" s="4">
        <v>1</v>
      </c>
      <c r="Q1025" s="2" t="s">
        <v>1989</v>
      </c>
      <c r="R1025" s="11">
        <f>SUBTOTAL(3,_xlfn.SINGLE(tbl_file[RowId]))</f>
        <v>1</v>
      </c>
    </row>
    <row r="1026" spans="10:18">
      <c r="J1026" s="4">
        <v>603</v>
      </c>
      <c r="K1026" s="21" t="str">
        <f t="shared" si="19"/>
        <v>Dont Eat It Out of a Box! New Pasta Trend is Taking Over The World and Its Absolutely Stunning!</v>
      </c>
      <c r="L1026" s="20" t="s">
        <v>175</v>
      </c>
      <c r="M1026" s="4"/>
      <c r="N1026" s="2" t="s">
        <v>137</v>
      </c>
      <c r="O1026" s="2"/>
      <c r="P1026" s="4">
        <v>1</v>
      </c>
      <c r="Q1026" s="2" t="s">
        <v>2219</v>
      </c>
      <c r="R1026" s="11">
        <f>SUBTOTAL(3,_xlfn.SINGLE(tbl_file[RowId]))</f>
        <v>1</v>
      </c>
    </row>
    <row r="1027" spans="10:18">
      <c r="J1027" s="4">
        <v>604</v>
      </c>
      <c r="K1027" s="21" t="str">
        <f t="shared" si="19"/>
        <v>Dont Eat It Out of a Box! New Pasta Trend is Taking Over The World and Its Absolutely Stunning!</v>
      </c>
      <c r="L1027" s="20" t="s">
        <v>175</v>
      </c>
      <c r="M1027" s="4" t="s">
        <v>2626</v>
      </c>
      <c r="N1027" s="2" t="s">
        <v>2606</v>
      </c>
      <c r="O1027" s="2"/>
      <c r="P1027" s="4">
        <v>1</v>
      </c>
      <c r="Q1027" s="2" t="s">
        <v>2371</v>
      </c>
      <c r="R1027" s="11">
        <f>SUBTOTAL(3,_xlfn.SINGLE(tbl_file[RowId]))</f>
        <v>1</v>
      </c>
    </row>
    <row r="1028" spans="10:18">
      <c r="J1028" s="4">
        <v>1064</v>
      </c>
      <c r="K1028" s="21" t="str">
        <f>HYPERLINK("obsidian://open?vault=o2&amp;file=Download%20amCharts%205%20-%20amCharts.md","Download amCharts 5 - amCharts")</f>
        <v>Download amCharts 5 - amCharts</v>
      </c>
      <c r="L1028" s="20" t="s">
        <v>175</v>
      </c>
      <c r="M1028" s="4"/>
      <c r="N1028" s="2" t="s">
        <v>19</v>
      </c>
      <c r="O1028" s="2"/>
      <c r="P1028" s="4">
        <v>1</v>
      </c>
      <c r="Q1028" s="2" t="s">
        <v>400</v>
      </c>
      <c r="R1028" s="11">
        <f>SUBTOTAL(3,_xlfn.SINGLE(tbl_file[RowId]))</f>
        <v>1</v>
      </c>
    </row>
    <row r="1029" spans="10:18">
      <c r="J1029" s="4">
        <v>1065</v>
      </c>
      <c r="K1029" s="21" t="str">
        <f>HYPERLINK("obsidian://open?vault=o2&amp;file=Download%20amCharts%205%20-%20amCharts.md","Download amCharts 5 - amCharts")</f>
        <v>Download amCharts 5 - amCharts</v>
      </c>
      <c r="L1029" s="20" t="s">
        <v>175</v>
      </c>
      <c r="M1029" s="4"/>
      <c r="N1029" s="2" t="s">
        <v>125</v>
      </c>
      <c r="O1029" s="2"/>
      <c r="P1029" s="4">
        <v>1</v>
      </c>
      <c r="Q1029" s="2" t="s">
        <v>1901</v>
      </c>
      <c r="R1029" s="11">
        <f>SUBTOTAL(3,_xlfn.SINGLE(tbl_file[RowId]))</f>
        <v>1</v>
      </c>
    </row>
    <row r="1030" spans="10:18">
      <c r="J1030" s="4">
        <v>1066</v>
      </c>
      <c r="K1030" s="21" t="str">
        <f>HYPERLINK("obsidian://open?vault=o2&amp;file=Download%20amCharts%205%20-%20amCharts.md","Download amCharts 5 - amCharts")</f>
        <v>Download amCharts 5 - amCharts</v>
      </c>
      <c r="L1030" s="20" t="s">
        <v>175</v>
      </c>
      <c r="M1030" s="4"/>
      <c r="N1030" s="2" t="s">
        <v>2606</v>
      </c>
      <c r="O1030" s="2"/>
      <c r="P1030" s="4">
        <v>1</v>
      </c>
      <c r="Q1030" s="2" t="s">
        <v>2537</v>
      </c>
      <c r="R1030" s="11">
        <f>SUBTOTAL(3,_xlfn.SINGLE(tbl_file[RowId]))</f>
        <v>1</v>
      </c>
    </row>
    <row r="1031" spans="10:18">
      <c r="J1031" s="4">
        <v>377</v>
      </c>
      <c r="K1031" s="21" t="str">
        <f>HYPERLINK("obsidian://open?vault=o2&amp;file=Draft%20Notes%20for%20Poetry.md","Draft Notes for Poetry")</f>
        <v>Draft Notes for Poetry</v>
      </c>
      <c r="L1031" s="20" t="s">
        <v>175</v>
      </c>
      <c r="M1031" s="4"/>
      <c r="N1031" s="2" t="s">
        <v>50</v>
      </c>
      <c r="O1031" s="2"/>
      <c r="P1031" s="4">
        <v>2</v>
      </c>
      <c r="Q1031" s="2" t="s">
        <v>2671</v>
      </c>
      <c r="R1031" s="11">
        <f>SUBTOTAL(3,_xlfn.SINGLE(tbl_file[RowId]))</f>
        <v>1</v>
      </c>
    </row>
    <row r="1032" spans="10:18">
      <c r="J1032" s="4">
        <v>378</v>
      </c>
      <c r="K1032" s="21" t="str">
        <f>HYPERLINK("obsidian://open?vault=o2&amp;file=Draft%20Notes%20for%20Poetry.md","Draft Notes for Poetry")</f>
        <v>Draft Notes for Poetry</v>
      </c>
      <c r="L1032" s="20" t="s">
        <v>175</v>
      </c>
      <c r="M1032" s="4"/>
      <c r="N1032" s="2" t="s">
        <v>2606</v>
      </c>
      <c r="O1032" s="2"/>
      <c r="P1032" s="4">
        <v>7</v>
      </c>
      <c r="Q1032" s="2" t="s">
        <v>2675</v>
      </c>
      <c r="R1032" s="11">
        <f>SUBTOTAL(3,_xlfn.SINGLE(tbl_file[RowId]))</f>
        <v>1</v>
      </c>
    </row>
    <row r="1033" spans="10:18">
      <c r="J1033" s="4">
        <v>379</v>
      </c>
      <c r="K1033" s="21" t="str">
        <f>HYPERLINK("obsidian://open?vault=o2&amp;file=Draft%20Notes%20for%20Poetry.md","Draft Notes for Poetry")</f>
        <v>Draft Notes for Poetry</v>
      </c>
      <c r="L1033" s="20" t="s">
        <v>175</v>
      </c>
      <c r="M1033" s="4"/>
      <c r="N1033" s="2" t="s">
        <v>133</v>
      </c>
      <c r="O1033" s="2"/>
      <c r="P1033" s="4">
        <v>1</v>
      </c>
      <c r="Q1033" s="2" t="s">
        <v>2614</v>
      </c>
      <c r="R1033" s="11">
        <f>SUBTOTAL(3,_xlfn.SINGLE(tbl_file[RowId]))</f>
        <v>1</v>
      </c>
    </row>
    <row r="1034" spans="10:18">
      <c r="J1034" s="4">
        <v>1114</v>
      </c>
      <c r="K1034" s="21" t="str">
        <f>HYPERLINK("obsidian://open?vault=o2&amp;file=DV%20Directory%20Lists.md","DV Directory Lists")</f>
        <v>DV Directory Lists</v>
      </c>
      <c r="L1034" s="20" t="s">
        <v>175</v>
      </c>
      <c r="M1034" s="4"/>
      <c r="N1034" s="2" t="s">
        <v>50</v>
      </c>
      <c r="O1034" s="2"/>
      <c r="P1034" s="4">
        <v>1</v>
      </c>
      <c r="Q1034" s="2" t="s">
        <v>1564</v>
      </c>
      <c r="R1034" s="11">
        <f>SUBTOTAL(3,_xlfn.SINGLE(tbl_file[RowId]))</f>
        <v>1</v>
      </c>
    </row>
    <row r="1035" spans="10:18">
      <c r="J1035" s="4">
        <v>1115</v>
      </c>
      <c r="K1035" s="21" t="str">
        <f>HYPERLINK("obsidian://open?vault=o2&amp;file=DV%20Directory%20Lists.md","DV Directory Lists")</f>
        <v>DV Directory Lists</v>
      </c>
      <c r="L1035" s="20" t="s">
        <v>175</v>
      </c>
      <c r="M1035" s="4"/>
      <c r="N1035" s="2" t="s">
        <v>127</v>
      </c>
      <c r="O1035" s="2"/>
      <c r="P1035" s="4">
        <v>1</v>
      </c>
      <c r="Q1035" s="2" t="s">
        <v>1968</v>
      </c>
      <c r="R1035" s="11">
        <f>SUBTOTAL(3,_xlfn.SINGLE(tbl_file[RowId]))</f>
        <v>1</v>
      </c>
    </row>
    <row r="1036" spans="10:18">
      <c r="J1036" s="4">
        <v>1116</v>
      </c>
      <c r="K1036" s="21" t="str">
        <f>HYPERLINK("obsidian://open?vault=o2&amp;file=DV%20Directory%20Lists.md","DV Directory Lists")</f>
        <v>DV Directory Lists</v>
      </c>
      <c r="L1036" s="20" t="s">
        <v>175</v>
      </c>
      <c r="M1036" s="4"/>
      <c r="N1036" s="2" t="s">
        <v>2606</v>
      </c>
      <c r="O1036" s="2"/>
      <c r="P1036" s="4">
        <v>3</v>
      </c>
      <c r="Q1036" s="2" t="s">
        <v>2987</v>
      </c>
      <c r="R1036" s="11">
        <f>SUBTOTAL(3,_xlfn.SINGLE(tbl_file[RowId]))</f>
        <v>1</v>
      </c>
    </row>
    <row r="1037" spans="10:18">
      <c r="J1037" s="4">
        <v>1117</v>
      </c>
      <c r="K1037" s="21" t="str">
        <f>HYPERLINK("obsidian://open?vault=o2&amp;file=DV%20Implicit%20Fields.md","DV Implicit Fields")</f>
        <v>DV Implicit Fields</v>
      </c>
      <c r="L1037" s="20" t="s">
        <v>175</v>
      </c>
      <c r="M1037" s="4"/>
      <c r="N1037" s="2" t="s">
        <v>10</v>
      </c>
      <c r="O1037" s="2"/>
      <c r="P1037" s="4">
        <v>1</v>
      </c>
      <c r="Q1037" s="2" t="s">
        <v>173</v>
      </c>
      <c r="R1037" s="11">
        <f>SUBTOTAL(3,_xlfn.SINGLE(tbl_file[RowId]))</f>
        <v>1</v>
      </c>
    </row>
    <row r="1038" spans="10:18">
      <c r="J1038" s="4">
        <v>1118</v>
      </c>
      <c r="K1038" s="21" t="str">
        <f>HYPERLINK("obsidian://open?vault=o2&amp;file=DV%20Implicit%20Fields.md","DV Implicit Fields")</f>
        <v>DV Implicit Fields</v>
      </c>
      <c r="L1038" s="20" t="s">
        <v>175</v>
      </c>
      <c r="M1038" s="4"/>
      <c r="N1038" s="2" t="s">
        <v>50</v>
      </c>
      <c r="O1038" s="2"/>
      <c r="P1038" s="4">
        <v>1</v>
      </c>
      <c r="Q1038" s="2" t="s">
        <v>1564</v>
      </c>
      <c r="R1038" s="11">
        <f>SUBTOTAL(3,_xlfn.SINGLE(tbl_file[RowId]))</f>
        <v>1</v>
      </c>
    </row>
    <row r="1039" spans="10:18">
      <c r="J1039" s="4">
        <v>1119</v>
      </c>
      <c r="K1039" s="21" t="str">
        <f>HYPERLINK("obsidian://open?vault=o2&amp;file=DV%20Implicit%20Fields.md","DV Implicit Fields")</f>
        <v>DV Implicit Fields</v>
      </c>
      <c r="L1039" s="20" t="s">
        <v>175</v>
      </c>
      <c r="M1039" s="4"/>
      <c r="N1039" s="2" t="s">
        <v>2606</v>
      </c>
      <c r="O1039" s="2"/>
      <c r="P1039" s="4">
        <v>1</v>
      </c>
      <c r="Q1039" s="2" t="s">
        <v>2582</v>
      </c>
      <c r="R1039" s="11">
        <f>SUBTOTAL(3,_xlfn.SINGLE(tbl_file[RowId]))</f>
        <v>1</v>
      </c>
    </row>
    <row r="1040" spans="10:18">
      <c r="J1040" s="4">
        <v>883</v>
      </c>
      <c r="K1040" s="21" t="str">
        <f t="shared" ref="K1040:K1046" si="20">HYPERLINK("obsidian://open?vault=o2&amp;file=Dyke-A%20Text-Book%20of%20the%20History%20of%20Painting.md","Dyke-A Text-Book of the History of Painting")</f>
        <v>Dyke-A Text-Book of the History of Painting</v>
      </c>
      <c r="L1040" s="20" t="s">
        <v>175</v>
      </c>
      <c r="M1040" s="4"/>
      <c r="N1040" s="2" t="s">
        <v>2917</v>
      </c>
      <c r="O1040" s="2"/>
      <c r="P1040" s="4">
        <v>1</v>
      </c>
      <c r="Q1040" s="2" t="s">
        <v>2918</v>
      </c>
      <c r="R1040" s="11">
        <f>SUBTOTAL(3,_xlfn.SINGLE(tbl_file[RowId]))</f>
        <v>1</v>
      </c>
    </row>
    <row r="1041" spans="10:18">
      <c r="J1041" s="4">
        <v>884</v>
      </c>
      <c r="K1041" s="21" t="str">
        <f t="shared" si="20"/>
        <v>Dyke-A Text-Book of the History of Painting</v>
      </c>
      <c r="L1041" s="20" t="s">
        <v>175</v>
      </c>
      <c r="M1041" s="4"/>
      <c r="N1041" s="2" t="s">
        <v>2919</v>
      </c>
      <c r="O1041" s="2"/>
      <c r="P1041" s="4">
        <v>1</v>
      </c>
      <c r="Q1041" s="2" t="s">
        <v>2920</v>
      </c>
      <c r="R1041" s="11">
        <f>SUBTOTAL(3,_xlfn.SINGLE(tbl_file[RowId]))</f>
        <v>1</v>
      </c>
    </row>
    <row r="1042" spans="10:18">
      <c r="J1042" s="4">
        <v>885</v>
      </c>
      <c r="K1042" s="21" t="str">
        <f t="shared" si="20"/>
        <v>Dyke-A Text-Book of the History of Painting</v>
      </c>
      <c r="L1042" s="20" t="s">
        <v>175</v>
      </c>
      <c r="M1042" s="4"/>
      <c r="N1042" s="2" t="s">
        <v>2921</v>
      </c>
      <c r="O1042" s="2" t="s">
        <v>2922</v>
      </c>
      <c r="P1042" s="4">
        <v>1</v>
      </c>
      <c r="Q1042" s="2" t="s">
        <v>2923</v>
      </c>
      <c r="R1042" s="11">
        <f>SUBTOTAL(3,_xlfn.SINGLE(tbl_file[RowId]))</f>
        <v>1</v>
      </c>
    </row>
    <row r="1043" spans="10:18">
      <c r="J1043" s="4">
        <v>886</v>
      </c>
      <c r="K1043" s="21" t="str">
        <f t="shared" si="20"/>
        <v>Dyke-A Text-Book of the History of Painting</v>
      </c>
      <c r="L1043" s="20" t="s">
        <v>175</v>
      </c>
      <c r="M1043" s="4"/>
      <c r="N1043" s="2" t="s">
        <v>2924</v>
      </c>
      <c r="O1043" s="2" t="s">
        <v>2925</v>
      </c>
      <c r="P1043" s="4">
        <v>1</v>
      </c>
      <c r="Q1043" s="2" t="s">
        <v>2926</v>
      </c>
      <c r="R1043" s="11">
        <f>SUBTOTAL(3,_xlfn.SINGLE(tbl_file[RowId]))</f>
        <v>1</v>
      </c>
    </row>
    <row r="1044" spans="10:18">
      <c r="J1044" s="4">
        <v>887</v>
      </c>
      <c r="K1044" s="21" t="str">
        <f t="shared" si="20"/>
        <v>Dyke-A Text-Book of the History of Painting</v>
      </c>
      <c r="L1044" s="20" t="s">
        <v>175</v>
      </c>
      <c r="M1044" s="4"/>
      <c r="N1044" s="2" t="s">
        <v>2927</v>
      </c>
      <c r="O1044" s="2" t="s">
        <v>2928</v>
      </c>
      <c r="P1044" s="4">
        <v>1</v>
      </c>
      <c r="Q1044" s="2" t="s">
        <v>2929</v>
      </c>
      <c r="R1044" s="11">
        <f>SUBTOTAL(3,_xlfn.SINGLE(tbl_file[RowId]))</f>
        <v>1</v>
      </c>
    </row>
    <row r="1045" spans="10:18">
      <c r="J1045" s="4">
        <v>888</v>
      </c>
      <c r="K1045" s="21" t="str">
        <f t="shared" si="20"/>
        <v>Dyke-A Text-Book of the History of Painting</v>
      </c>
      <c r="L1045" s="20" t="s">
        <v>175</v>
      </c>
      <c r="M1045" s="4"/>
      <c r="N1045" s="2" t="s">
        <v>2930</v>
      </c>
      <c r="O1045" s="2" t="s">
        <v>2931</v>
      </c>
      <c r="P1045" s="4">
        <v>1</v>
      </c>
      <c r="Q1045" s="2" t="s">
        <v>2932</v>
      </c>
      <c r="R1045" s="11">
        <f>SUBTOTAL(3,_xlfn.SINGLE(tbl_file[RowId]))</f>
        <v>1</v>
      </c>
    </row>
    <row r="1046" spans="10:18">
      <c r="J1046" s="4">
        <v>889</v>
      </c>
      <c r="K1046" s="21" t="str">
        <f t="shared" si="20"/>
        <v>Dyke-A Text-Book of the History of Painting</v>
      </c>
      <c r="L1046" s="20" t="s">
        <v>175</v>
      </c>
      <c r="M1046" s="4"/>
      <c r="N1046" s="2" t="s">
        <v>2933</v>
      </c>
      <c r="O1046" s="2"/>
      <c r="P1046" s="4">
        <v>1</v>
      </c>
      <c r="Q1046" s="2" t="s">
        <v>2934</v>
      </c>
      <c r="R1046" s="11">
        <f>SUBTOTAL(3,_xlfn.SINGLE(tbl_file[RowId]))</f>
        <v>1</v>
      </c>
    </row>
    <row r="1047" spans="10:18">
      <c r="J1047" s="4">
        <v>1927</v>
      </c>
      <c r="K1047" s="21" t="str">
        <f>HYPERLINK("obsidian://open?vault=o2&amp;file=Email%20Address%20OSINT.md","Email Address OSINT")</f>
        <v>Email Address OSINT</v>
      </c>
      <c r="L1047" s="20" t="s">
        <v>175</v>
      </c>
      <c r="M1047" s="4"/>
      <c r="N1047" s="2" t="s">
        <v>50</v>
      </c>
      <c r="O1047" s="2"/>
      <c r="P1047" s="4">
        <v>1</v>
      </c>
      <c r="Q1047" s="2" t="s">
        <v>1448</v>
      </c>
      <c r="R1047" s="11">
        <f>SUBTOTAL(3,_xlfn.SINGLE(tbl_file[RowId]))</f>
        <v>1</v>
      </c>
    </row>
    <row r="1048" spans="10:18">
      <c r="J1048" s="4">
        <v>1928</v>
      </c>
      <c r="K1048" s="21" t="str">
        <f>HYPERLINK("obsidian://open?vault=o2&amp;file=Email%20Address%20OSINT.md","Email Address OSINT")</f>
        <v>Email Address OSINT</v>
      </c>
      <c r="L1048" s="20" t="s">
        <v>175</v>
      </c>
      <c r="M1048" s="4"/>
      <c r="N1048" s="2" t="s">
        <v>2606</v>
      </c>
      <c r="O1048" s="2"/>
      <c r="P1048" s="4">
        <v>2</v>
      </c>
      <c r="Q1048" s="2" t="s">
        <v>3084</v>
      </c>
      <c r="R1048" s="11">
        <f>SUBTOTAL(3,_xlfn.SINGLE(tbl_file[RowId]))</f>
        <v>1</v>
      </c>
    </row>
    <row r="1049" spans="10:18">
      <c r="J1049" s="4">
        <v>1929</v>
      </c>
      <c r="K1049" s="21" t="str">
        <f>HYPERLINK("obsidian://open?vault=o2&amp;file=Email%20Address%20OSINT.md","Email Address OSINT")</f>
        <v>Email Address OSINT</v>
      </c>
      <c r="L1049" s="20" t="s">
        <v>175</v>
      </c>
      <c r="M1049" s="4"/>
      <c r="N1049" s="2" t="s">
        <v>133</v>
      </c>
      <c r="O1049" s="2"/>
      <c r="P1049" s="4">
        <v>1</v>
      </c>
      <c r="Q1049" s="2" t="s">
        <v>2622</v>
      </c>
      <c r="R1049" s="11">
        <f>SUBTOTAL(3,_xlfn.SINGLE(tbl_file[RowId]))</f>
        <v>1</v>
      </c>
    </row>
    <row r="1050" spans="10:18">
      <c r="J1050" s="4">
        <v>1930</v>
      </c>
      <c r="K1050" s="21" t="str">
        <f>HYPERLINK("obsidian://open?vault=o2&amp;file=Embedding%20notes.md","Embedding notes")</f>
        <v>Embedding notes</v>
      </c>
      <c r="L1050" s="20" t="s">
        <v>175</v>
      </c>
      <c r="M1050" s="4"/>
      <c r="N1050" s="2" t="s">
        <v>50</v>
      </c>
      <c r="O1050" s="2"/>
      <c r="P1050" s="4">
        <v>1</v>
      </c>
      <c r="Q1050" s="2" t="s">
        <v>1456</v>
      </c>
      <c r="R1050" s="11">
        <f>SUBTOTAL(3,_xlfn.SINGLE(tbl_file[RowId]))</f>
        <v>1</v>
      </c>
    </row>
    <row r="1051" spans="10:18">
      <c r="J1051" s="4">
        <v>221</v>
      </c>
      <c r="K1051" s="21" t="str">
        <f t="shared" ref="K1051:K1056" si="21">HYPERLINK("obsidian://open?vault=o2&amp;file=Emoji%20Study.md","Emoji Study")</f>
        <v>Emoji Study</v>
      </c>
      <c r="L1051" s="20" t="s">
        <v>175</v>
      </c>
      <c r="M1051" s="4"/>
      <c r="N1051" s="2" t="s">
        <v>48</v>
      </c>
      <c r="O1051" s="2"/>
      <c r="P1051" s="4">
        <v>1</v>
      </c>
      <c r="Q1051" s="2" t="s">
        <v>2634</v>
      </c>
      <c r="R1051" s="11">
        <f>SUBTOTAL(3,_xlfn.SINGLE(tbl_file[RowId]))</f>
        <v>1</v>
      </c>
    </row>
    <row r="1052" spans="10:18">
      <c r="J1052" s="4">
        <v>222</v>
      </c>
      <c r="K1052" s="21" t="str">
        <f t="shared" si="21"/>
        <v>Emoji Study</v>
      </c>
      <c r="L1052" s="20" t="s">
        <v>175</v>
      </c>
      <c r="M1052" s="4"/>
      <c r="N1052" s="2" t="s">
        <v>118</v>
      </c>
      <c r="O1052" s="2"/>
      <c r="P1052" s="4">
        <v>1</v>
      </c>
      <c r="Q1052" s="2" t="s">
        <v>1641</v>
      </c>
      <c r="R1052" s="11">
        <f>SUBTOTAL(3,_xlfn.SINGLE(tbl_file[RowId]))</f>
        <v>1</v>
      </c>
    </row>
    <row r="1053" spans="10:18">
      <c r="J1053" s="4">
        <v>223</v>
      </c>
      <c r="K1053" s="21" t="str">
        <f t="shared" si="21"/>
        <v>Emoji Study</v>
      </c>
      <c r="L1053" s="20" t="s">
        <v>175</v>
      </c>
      <c r="M1053" s="4"/>
      <c r="N1053" s="2" t="s">
        <v>123</v>
      </c>
      <c r="O1053" s="2"/>
      <c r="P1053" s="4">
        <v>1</v>
      </c>
      <c r="Q1053" s="2" t="s">
        <v>1564</v>
      </c>
      <c r="R1053" s="11">
        <f>SUBTOTAL(3,_xlfn.SINGLE(tbl_file[RowId]))</f>
        <v>1</v>
      </c>
    </row>
    <row r="1054" spans="10:18">
      <c r="J1054" s="4">
        <v>224</v>
      </c>
      <c r="K1054" s="21" t="str">
        <f t="shared" si="21"/>
        <v>Emoji Study</v>
      </c>
      <c r="L1054" s="20" t="s">
        <v>175</v>
      </c>
      <c r="M1054" s="4"/>
      <c r="N1054" s="2" t="s">
        <v>127</v>
      </c>
      <c r="O1054" s="2"/>
      <c r="P1054" s="4">
        <v>1</v>
      </c>
      <c r="Q1054" s="2" t="s">
        <v>1956</v>
      </c>
      <c r="R1054" s="11">
        <f>SUBTOTAL(3,_xlfn.SINGLE(tbl_file[RowId]))</f>
        <v>1</v>
      </c>
    </row>
    <row r="1055" spans="10:18">
      <c r="J1055" s="4">
        <v>225</v>
      </c>
      <c r="K1055" s="21" t="str">
        <f t="shared" si="21"/>
        <v>Emoji Study</v>
      </c>
      <c r="L1055" s="20" t="s">
        <v>175</v>
      </c>
      <c r="M1055" s="4"/>
      <c r="N1055" s="2" t="s">
        <v>2606</v>
      </c>
      <c r="O1055" s="2"/>
      <c r="P1055" s="4">
        <v>1</v>
      </c>
      <c r="Q1055" s="2" t="s">
        <v>2416</v>
      </c>
      <c r="R1055" s="11">
        <f>SUBTOTAL(3,_xlfn.SINGLE(tbl_file[RowId]))</f>
        <v>1</v>
      </c>
    </row>
    <row r="1056" spans="10:18">
      <c r="J1056" s="4">
        <v>226</v>
      </c>
      <c r="K1056" s="21" t="str">
        <f t="shared" si="21"/>
        <v>Emoji Study</v>
      </c>
      <c r="L1056" s="20" t="s">
        <v>175</v>
      </c>
      <c r="M1056" s="4"/>
      <c r="N1056" s="2" t="s">
        <v>133</v>
      </c>
      <c r="O1056" s="2"/>
      <c r="P1056" s="4">
        <v>1</v>
      </c>
      <c r="Q1056" s="2" t="s">
        <v>2113</v>
      </c>
      <c r="R1056" s="11">
        <f>SUBTOTAL(3,_xlfn.SINGLE(tbl_file[RowId]))</f>
        <v>1</v>
      </c>
    </row>
    <row r="1057" spans="10:18">
      <c r="J1057" s="4">
        <v>1931</v>
      </c>
      <c r="K1057" s="21" t="str">
        <f>HYPERLINK("obsidian://open?vault=o2&amp;file=Eveline.md","Eveline")</f>
        <v>Eveline</v>
      </c>
      <c r="L1057" s="20" t="s">
        <v>175</v>
      </c>
      <c r="M1057" s="4"/>
      <c r="N1057" s="2" t="s">
        <v>121</v>
      </c>
      <c r="O1057" s="2"/>
      <c r="P1057" s="4">
        <v>1</v>
      </c>
      <c r="Q1057" s="2" t="s">
        <v>1838</v>
      </c>
      <c r="R1057" s="11">
        <f>SUBTOTAL(3,_xlfn.SINGLE(tbl_file[RowId]))</f>
        <v>1</v>
      </c>
    </row>
    <row r="1058" spans="10:18">
      <c r="J1058" s="4">
        <v>1932</v>
      </c>
      <c r="K1058" s="21" t="str">
        <f>HYPERLINK("obsidian://open?vault=o2&amp;file=Eveline.md","Eveline")</f>
        <v>Eveline</v>
      </c>
      <c r="L1058" s="20" t="s">
        <v>175</v>
      </c>
      <c r="M1058" s="4"/>
      <c r="N1058" s="2" t="s">
        <v>2606</v>
      </c>
      <c r="O1058" s="2"/>
      <c r="P1058" s="4">
        <v>1</v>
      </c>
      <c r="Q1058" s="2" t="s">
        <v>2551</v>
      </c>
      <c r="R1058" s="11">
        <f>SUBTOTAL(3,_xlfn.SINGLE(tbl_file[RowId]))</f>
        <v>1</v>
      </c>
    </row>
    <row r="1059" spans="10:18">
      <c r="J1059" s="4">
        <v>1933</v>
      </c>
      <c r="K1059" s="21" t="str">
        <f>HYPERLINK("obsidian://open?vault=o2&amp;file=Eveline.md","Eveline")</f>
        <v>Eveline</v>
      </c>
      <c r="L1059" s="20" t="s">
        <v>175</v>
      </c>
      <c r="M1059" s="4"/>
      <c r="N1059" s="2" t="s">
        <v>133</v>
      </c>
      <c r="O1059" s="2"/>
      <c r="P1059" s="4">
        <v>1</v>
      </c>
      <c r="Q1059" s="2" t="s">
        <v>2622</v>
      </c>
      <c r="R1059" s="11">
        <f>SUBTOTAL(3,_xlfn.SINGLE(tbl_file[RowId]))</f>
        <v>1</v>
      </c>
    </row>
    <row r="1060" spans="10:18">
      <c r="J1060" s="4">
        <v>1936</v>
      </c>
      <c r="K1060" s="21" t="str">
        <f t="shared" ref="K1060:K1065" si="22">HYPERLINK("obsidian://open?vault=o2&amp;file=Evergreen%20Notes.md","Evergreen Notes")</f>
        <v>Evergreen Notes</v>
      </c>
      <c r="L1060" s="20" t="s">
        <v>175</v>
      </c>
      <c r="M1060" s="4"/>
      <c r="N1060" s="2" t="s">
        <v>50</v>
      </c>
      <c r="O1060" s="2"/>
      <c r="P1060" s="4">
        <v>6</v>
      </c>
      <c r="Q1060" s="2" t="s">
        <v>3090</v>
      </c>
      <c r="R1060" s="11">
        <f>SUBTOTAL(3,_xlfn.SINGLE(tbl_file[RowId]))</f>
        <v>1</v>
      </c>
    </row>
    <row r="1061" spans="10:18">
      <c r="J1061" s="4">
        <v>1937</v>
      </c>
      <c r="K1061" s="21" t="str">
        <f t="shared" si="22"/>
        <v>Evergreen Notes</v>
      </c>
      <c r="L1061" s="20" t="s">
        <v>175</v>
      </c>
      <c r="M1061" s="4"/>
      <c r="N1061" s="2" t="s">
        <v>118</v>
      </c>
      <c r="O1061" s="2"/>
      <c r="P1061" s="4">
        <v>1</v>
      </c>
      <c r="Q1061" s="2" t="s">
        <v>1641</v>
      </c>
      <c r="R1061" s="11">
        <f>SUBTOTAL(3,_xlfn.SINGLE(tbl_file[RowId]))</f>
        <v>1</v>
      </c>
    </row>
    <row r="1062" spans="10:18">
      <c r="J1062" s="4">
        <v>1938</v>
      </c>
      <c r="K1062" s="21" t="str">
        <f t="shared" si="22"/>
        <v>Evergreen Notes</v>
      </c>
      <c r="L1062" s="20" t="s">
        <v>175</v>
      </c>
      <c r="M1062" s="4"/>
      <c r="N1062" s="2" t="s">
        <v>123</v>
      </c>
      <c r="O1062" s="2" t="s">
        <v>2635</v>
      </c>
      <c r="P1062" s="4">
        <v>1</v>
      </c>
      <c r="Q1062" s="2" t="s">
        <v>1564</v>
      </c>
      <c r="R1062" s="11">
        <f>SUBTOTAL(3,_xlfn.SINGLE(tbl_file[RowId]))</f>
        <v>1</v>
      </c>
    </row>
    <row r="1063" spans="10:18">
      <c r="J1063" s="4">
        <v>1939</v>
      </c>
      <c r="K1063" s="21" t="str">
        <f t="shared" si="22"/>
        <v>Evergreen Notes</v>
      </c>
      <c r="L1063" s="20" t="s">
        <v>175</v>
      </c>
      <c r="M1063" s="4"/>
      <c r="N1063" s="2" t="s">
        <v>127</v>
      </c>
      <c r="O1063" s="2"/>
      <c r="P1063" s="4">
        <v>1</v>
      </c>
      <c r="Q1063" s="2" t="s">
        <v>1968</v>
      </c>
      <c r="R1063" s="11">
        <f>SUBTOTAL(3,_xlfn.SINGLE(tbl_file[RowId]))</f>
        <v>1</v>
      </c>
    </row>
    <row r="1064" spans="10:18">
      <c r="J1064" s="4">
        <v>1940</v>
      </c>
      <c r="K1064" s="21" t="str">
        <f t="shared" si="22"/>
        <v>Evergreen Notes</v>
      </c>
      <c r="L1064" s="20" t="s">
        <v>175</v>
      </c>
      <c r="M1064" s="4"/>
      <c r="N1064" s="2" t="s">
        <v>129</v>
      </c>
      <c r="O1064" s="2"/>
      <c r="P1064" s="4">
        <v>1</v>
      </c>
      <c r="Q1064" s="2" t="s">
        <v>1430</v>
      </c>
      <c r="R1064" s="11">
        <f>SUBTOTAL(3,_xlfn.SINGLE(tbl_file[RowId]))</f>
        <v>1</v>
      </c>
    </row>
    <row r="1065" spans="10:18">
      <c r="J1065" s="4">
        <v>1941</v>
      </c>
      <c r="K1065" s="21" t="str">
        <f t="shared" si="22"/>
        <v>Evergreen Notes</v>
      </c>
      <c r="L1065" s="20" t="s">
        <v>175</v>
      </c>
      <c r="M1065" s="4"/>
      <c r="N1065" s="2" t="s">
        <v>2606</v>
      </c>
      <c r="O1065" s="2"/>
      <c r="P1065" s="4">
        <v>1</v>
      </c>
      <c r="Q1065" s="2" t="s">
        <v>2420</v>
      </c>
      <c r="R1065" s="11">
        <f>SUBTOTAL(3,_xlfn.SINGLE(tbl_file[RowId]))</f>
        <v>1</v>
      </c>
    </row>
    <row r="1066" spans="10:18">
      <c r="J1066" s="4">
        <v>1934</v>
      </c>
      <c r="K1066" s="21" t="str">
        <f>HYPERLINK("obsidian://open?vault=o2&amp;file=Evergreen%20Notes%20as%20Defined%20by%20Andy.md","Evergreen Notes as Defined by Andy")</f>
        <v>Evergreen Notes as Defined by Andy</v>
      </c>
      <c r="L1066" s="20" t="s">
        <v>175</v>
      </c>
      <c r="M1066" s="4"/>
      <c r="N1066" s="2" t="s">
        <v>50</v>
      </c>
      <c r="O1066" s="2"/>
      <c r="P1066" s="4">
        <v>1</v>
      </c>
      <c r="Q1066" s="2" t="s">
        <v>1464</v>
      </c>
      <c r="R1066" s="11">
        <f>SUBTOTAL(3,_xlfn.SINGLE(tbl_file[RowId]))</f>
        <v>1</v>
      </c>
    </row>
    <row r="1067" spans="10:18">
      <c r="J1067" s="4">
        <v>1935</v>
      </c>
      <c r="K1067" s="21" t="str">
        <f>HYPERLINK("obsidian://open?vault=o2&amp;file=Evergreen%20Notes%20as%20Defined%20by%20Andy.md","Evergreen Notes as Defined by Andy")</f>
        <v>Evergreen Notes as Defined by Andy</v>
      </c>
      <c r="L1067" s="20" t="s">
        <v>175</v>
      </c>
      <c r="M1067" s="4"/>
      <c r="N1067" s="2" t="s">
        <v>2606</v>
      </c>
      <c r="O1067" s="2"/>
      <c r="P1067" s="4">
        <v>3</v>
      </c>
      <c r="Q1067" s="2" t="s">
        <v>3089</v>
      </c>
      <c r="R1067" s="11">
        <f>SUBTOTAL(3,_xlfn.SINGLE(tbl_file[RowId]))</f>
        <v>1</v>
      </c>
    </row>
    <row r="1068" spans="10:18">
      <c r="J1068" s="4">
        <v>1942</v>
      </c>
      <c r="K1068" s="21" t="str">
        <f>HYPERLINK("obsidian://open?vault=o2&amp;file=Expand%20CasaOS%20App%20Library.md","Expand CasaOS App Library")</f>
        <v>Expand CasaOS App Library</v>
      </c>
      <c r="L1068" s="20" t="s">
        <v>175</v>
      </c>
      <c r="M1068" s="4"/>
      <c r="N1068" s="2" t="s">
        <v>50</v>
      </c>
      <c r="O1068" s="2"/>
      <c r="P1068" s="4">
        <v>2</v>
      </c>
      <c r="Q1068" s="2" t="s">
        <v>2618</v>
      </c>
      <c r="R1068" s="11">
        <f>SUBTOTAL(3,_xlfn.SINGLE(tbl_file[RowId]))</f>
        <v>1</v>
      </c>
    </row>
    <row r="1069" spans="10:18">
      <c r="J1069" s="4">
        <v>1943</v>
      </c>
      <c r="K1069" s="21" t="str">
        <f>HYPERLINK("obsidian://open?vault=o2&amp;file=Expand%20CasaOS%20App%20Library.md","Expand CasaOS App Library")</f>
        <v>Expand CasaOS App Library</v>
      </c>
      <c r="L1069" s="20" t="s">
        <v>175</v>
      </c>
      <c r="M1069" s="4"/>
      <c r="N1069" s="2" t="s">
        <v>127</v>
      </c>
      <c r="O1069" s="2"/>
      <c r="P1069" s="4">
        <v>1</v>
      </c>
      <c r="Q1069" s="2" t="s">
        <v>1960</v>
      </c>
      <c r="R1069" s="11">
        <f>SUBTOTAL(3,_xlfn.SINGLE(tbl_file[RowId]))</f>
        <v>1</v>
      </c>
    </row>
    <row r="1070" spans="10:18">
      <c r="J1070" s="4">
        <v>1944</v>
      </c>
      <c r="K1070" s="21" t="str">
        <f>HYPERLINK("obsidian://open?vault=o2&amp;file=Expand%20CasaOS%20App%20Library.md","Expand CasaOS App Library")</f>
        <v>Expand CasaOS App Library</v>
      </c>
      <c r="L1070" s="20" t="s">
        <v>175</v>
      </c>
      <c r="M1070" s="4"/>
      <c r="N1070" s="2" t="s">
        <v>2606</v>
      </c>
      <c r="O1070" s="2"/>
      <c r="P1070" s="4">
        <v>1</v>
      </c>
      <c r="Q1070" s="2" t="s">
        <v>2293</v>
      </c>
      <c r="R1070" s="11">
        <f>SUBTOTAL(3,_xlfn.SINGLE(tbl_file[RowId]))</f>
        <v>1</v>
      </c>
    </row>
    <row r="1071" spans="10:18">
      <c r="J1071" s="4">
        <v>1945</v>
      </c>
      <c r="K1071" s="21" t="str">
        <f>HYPERLINK("obsidian://open?vault=o2&amp;file=Expand%20CasaOS%20App%20Library.md","Expand CasaOS App Library")</f>
        <v>Expand CasaOS App Library</v>
      </c>
      <c r="L1071" s="20" t="s">
        <v>175</v>
      </c>
      <c r="M1071" s="4"/>
      <c r="N1071" s="2" t="s">
        <v>133</v>
      </c>
      <c r="O1071" s="2"/>
      <c r="P1071" s="4">
        <v>1</v>
      </c>
      <c r="Q1071" s="2" t="s">
        <v>2107</v>
      </c>
      <c r="R1071" s="11">
        <f>SUBTOTAL(3,_xlfn.SINGLE(tbl_file[RowId]))</f>
        <v>1</v>
      </c>
    </row>
    <row r="1072" spans="10:18">
      <c r="J1072" s="4">
        <v>1946</v>
      </c>
      <c r="K1072" s="21" t="str">
        <f>HYPERLINK("obsidian://open?vault=o2&amp;file=Extra%20Learning%20Resources.md","Extra Learning Resources")</f>
        <v>Extra Learning Resources</v>
      </c>
      <c r="L1072" s="20" t="s">
        <v>175</v>
      </c>
      <c r="M1072" s="4"/>
      <c r="N1072" s="2" t="s">
        <v>50</v>
      </c>
      <c r="O1072" s="2"/>
      <c r="P1072" s="4">
        <v>1</v>
      </c>
      <c r="Q1072" s="2" t="s">
        <v>1466</v>
      </c>
      <c r="R1072" s="11">
        <f>SUBTOTAL(3,_xlfn.SINGLE(tbl_file[RowId]))</f>
        <v>1</v>
      </c>
    </row>
    <row r="1073" spans="10:18">
      <c r="J1073" s="4">
        <v>1947</v>
      </c>
      <c r="K1073" s="21" t="str">
        <f>HYPERLINK("obsidian://open?vault=o2&amp;file=Extra%20Learning%20Resources.md","Extra Learning Resources")</f>
        <v>Extra Learning Resources</v>
      </c>
      <c r="L1073" s="20" t="s">
        <v>175</v>
      </c>
      <c r="M1073" s="4"/>
      <c r="N1073" s="2" t="s">
        <v>129</v>
      </c>
      <c r="O1073" s="2"/>
      <c r="P1073" s="4">
        <v>1</v>
      </c>
      <c r="Q1073" s="2" t="s">
        <v>1430</v>
      </c>
      <c r="R1073" s="11">
        <f>SUBTOTAL(3,_xlfn.SINGLE(tbl_file[RowId]))</f>
        <v>1</v>
      </c>
    </row>
    <row r="1074" spans="10:18">
      <c r="J1074" s="4">
        <v>1948</v>
      </c>
      <c r="K1074" s="21" t="str">
        <f>HYPERLINK("obsidian://open?vault=o2&amp;file=Extra%20Learning%20Resources.md","Extra Learning Resources")</f>
        <v>Extra Learning Resources</v>
      </c>
      <c r="L1074" s="20" t="s">
        <v>175</v>
      </c>
      <c r="M1074" s="4"/>
      <c r="N1074" s="2" t="s">
        <v>2606</v>
      </c>
      <c r="O1074" s="2"/>
      <c r="P1074" s="4">
        <v>3</v>
      </c>
      <c r="Q1074" s="2" t="s">
        <v>3091</v>
      </c>
      <c r="R1074" s="11">
        <f>SUBTOTAL(3,_xlfn.SINGLE(tbl_file[RowId]))</f>
        <v>1</v>
      </c>
    </row>
    <row r="1075" spans="10:18">
      <c r="J1075" s="4">
        <v>1949</v>
      </c>
      <c r="K1075" s="21" t="str">
        <f>HYPERLINK("obsidian://open?vault=o2&amp;file=Extra%20periodic%20review%20questions.md","Extra periodic review questions")</f>
        <v>Extra periodic review questions</v>
      </c>
      <c r="L1075" s="20" t="s">
        <v>175</v>
      </c>
      <c r="M1075" s="4"/>
      <c r="N1075" s="2" t="s">
        <v>50</v>
      </c>
      <c r="O1075" s="2"/>
      <c r="P1075" s="4">
        <v>1</v>
      </c>
      <c r="Q1075" s="2" t="s">
        <v>1476</v>
      </c>
      <c r="R1075" s="11">
        <f>SUBTOTAL(3,_xlfn.SINGLE(tbl_file[RowId]))</f>
        <v>1</v>
      </c>
    </row>
    <row r="1076" spans="10:18">
      <c r="J1076" s="4">
        <v>1950</v>
      </c>
      <c r="K1076" s="21" t="str">
        <f>HYPERLINK("obsidian://open?vault=o2&amp;file=FacebookDump.md","FacebookDump")</f>
        <v>FacebookDump</v>
      </c>
      <c r="L1076" s="20" t="s">
        <v>175</v>
      </c>
      <c r="M1076" s="4"/>
      <c r="N1076" s="2" t="s">
        <v>2606</v>
      </c>
      <c r="O1076" s="2"/>
      <c r="P1076" s="4">
        <v>1</v>
      </c>
      <c r="Q1076" s="2" t="s">
        <v>17</v>
      </c>
      <c r="R1076" s="11">
        <f>SUBTOTAL(3,_xlfn.SINGLE(tbl_file[RowId]))</f>
        <v>1</v>
      </c>
    </row>
    <row r="1077" spans="10:18">
      <c r="J1077" s="4">
        <v>1951</v>
      </c>
      <c r="K1077" s="21" t="str">
        <f>HYPERLINK("obsidian://open?vault=o2&amp;file=FacebookDump.md","FacebookDump")</f>
        <v>FacebookDump</v>
      </c>
      <c r="L1077" s="20" t="s">
        <v>175</v>
      </c>
      <c r="M1077" s="4"/>
      <c r="N1077" s="2" t="s">
        <v>133</v>
      </c>
      <c r="O1077" s="2"/>
      <c r="P1077" s="4">
        <v>1</v>
      </c>
      <c r="Q1077" s="2" t="s">
        <v>2109</v>
      </c>
      <c r="R1077" s="11">
        <f>SUBTOTAL(3,_xlfn.SINGLE(tbl_file[RowId]))</f>
        <v>1</v>
      </c>
    </row>
    <row r="1078" spans="10:18">
      <c r="J1078" s="4">
        <v>1215</v>
      </c>
      <c r="K1078" s="21" t="str">
        <f t="shared" ref="K1078:K1089" si="23">HYPERLINK("obsidian://open?vault=o2&amp;file=Firefox%20Privacy%20Settings.md","Firefox Privacy Settings")</f>
        <v>Firefox Privacy Settings</v>
      </c>
      <c r="L1078" s="20" t="s">
        <v>175</v>
      </c>
      <c r="M1078" s="4"/>
      <c r="N1078" s="2" t="s">
        <v>12</v>
      </c>
      <c r="O1078" s="2"/>
      <c r="P1078" s="4">
        <v>1</v>
      </c>
      <c r="Q1078" s="2" t="s">
        <v>264</v>
      </c>
      <c r="R1078" s="11">
        <f>SUBTOTAL(3,_xlfn.SINGLE(tbl_file[RowId]))</f>
        <v>1</v>
      </c>
    </row>
    <row r="1079" spans="10:18">
      <c r="J1079" s="4">
        <v>1216</v>
      </c>
      <c r="K1079" s="21" t="str">
        <f t="shared" si="23"/>
        <v>Firefox Privacy Settings</v>
      </c>
      <c r="L1079" s="20" t="s">
        <v>175</v>
      </c>
      <c r="M1079" s="4"/>
      <c r="N1079" s="2" t="s">
        <v>48</v>
      </c>
      <c r="O1079" s="2"/>
      <c r="P1079" s="4">
        <v>1</v>
      </c>
      <c r="Q1079" s="2" t="s">
        <v>1421</v>
      </c>
      <c r="R1079" s="11">
        <f>SUBTOTAL(3,_xlfn.SINGLE(tbl_file[RowId]))</f>
        <v>1</v>
      </c>
    </row>
    <row r="1080" spans="10:18">
      <c r="J1080" s="4">
        <v>1217</v>
      </c>
      <c r="K1080" s="21" t="str">
        <f t="shared" si="23"/>
        <v>Firefox Privacy Settings</v>
      </c>
      <c r="L1080" s="20" t="s">
        <v>175</v>
      </c>
      <c r="M1080" s="4"/>
      <c r="N1080" s="2" t="s">
        <v>118</v>
      </c>
      <c r="O1080" s="2"/>
      <c r="P1080" s="4">
        <v>1</v>
      </c>
      <c r="Q1080" s="2" t="s">
        <v>1799</v>
      </c>
      <c r="R1080" s="11">
        <f>SUBTOTAL(3,_xlfn.SINGLE(tbl_file[RowId]))</f>
        <v>1</v>
      </c>
    </row>
    <row r="1081" spans="10:18">
      <c r="J1081" s="4">
        <v>1218</v>
      </c>
      <c r="K1081" s="21" t="str">
        <f t="shared" si="23"/>
        <v>Firefox Privacy Settings</v>
      </c>
      <c r="L1081" s="20" t="s">
        <v>175</v>
      </c>
      <c r="M1081" s="4"/>
      <c r="N1081" s="2" t="s">
        <v>127</v>
      </c>
      <c r="O1081" s="2"/>
      <c r="P1081" s="4">
        <v>1</v>
      </c>
      <c r="Q1081" s="2" t="s">
        <v>1956</v>
      </c>
      <c r="R1081" s="11">
        <f>SUBTOTAL(3,_xlfn.SINGLE(tbl_file[RowId]))</f>
        <v>1</v>
      </c>
    </row>
    <row r="1082" spans="10:18">
      <c r="J1082" s="4">
        <v>1219</v>
      </c>
      <c r="K1082" s="21" t="str">
        <f t="shared" si="23"/>
        <v>Firefox Privacy Settings</v>
      </c>
      <c r="L1082" s="20" t="s">
        <v>175</v>
      </c>
      <c r="M1082" s="4"/>
      <c r="N1082" s="2" t="s">
        <v>2606</v>
      </c>
      <c r="O1082" s="2"/>
      <c r="P1082" s="4">
        <v>2</v>
      </c>
      <c r="Q1082" s="2" t="s">
        <v>3004</v>
      </c>
      <c r="R1082" s="11">
        <f>SUBTOTAL(3,_xlfn.SINGLE(tbl_file[RowId]))</f>
        <v>1</v>
      </c>
    </row>
    <row r="1083" spans="10:18">
      <c r="J1083" s="4">
        <v>1220</v>
      </c>
      <c r="K1083" s="21" t="str">
        <f t="shared" si="23"/>
        <v>Firefox Privacy Settings</v>
      </c>
      <c r="L1083" s="20" t="s">
        <v>175</v>
      </c>
      <c r="M1083" s="4"/>
      <c r="N1083" s="2" t="s">
        <v>133</v>
      </c>
      <c r="O1083" s="2"/>
      <c r="P1083" s="4">
        <v>1</v>
      </c>
      <c r="Q1083" s="2" t="s">
        <v>2113</v>
      </c>
      <c r="R1083" s="11">
        <f>SUBTOTAL(3,_xlfn.SINGLE(tbl_file[RowId]))</f>
        <v>1</v>
      </c>
    </row>
    <row r="1084" spans="10:18">
      <c r="J1084" s="4">
        <v>1238</v>
      </c>
      <c r="K1084" s="21" t="str">
        <f t="shared" si="23"/>
        <v>Firefox Privacy Settings</v>
      </c>
      <c r="L1084" s="20" t="s">
        <v>175</v>
      </c>
      <c r="M1084" s="4"/>
      <c r="N1084" s="2" t="s">
        <v>12</v>
      </c>
      <c r="O1084" s="2"/>
      <c r="P1084" s="4">
        <v>1</v>
      </c>
      <c r="Q1084" s="2" t="s">
        <v>264</v>
      </c>
      <c r="R1084" s="11">
        <f>SUBTOTAL(3,_xlfn.SINGLE(tbl_file[RowId]))</f>
        <v>1</v>
      </c>
    </row>
    <row r="1085" spans="10:18">
      <c r="J1085" s="4">
        <v>1239</v>
      </c>
      <c r="K1085" s="21" t="str">
        <f t="shared" si="23"/>
        <v>Firefox Privacy Settings</v>
      </c>
      <c r="L1085" s="20" t="s">
        <v>175</v>
      </c>
      <c r="M1085" s="4"/>
      <c r="N1085" s="2" t="s">
        <v>48</v>
      </c>
      <c r="O1085" s="2"/>
      <c r="P1085" s="4">
        <v>1</v>
      </c>
      <c r="Q1085" s="2" t="s">
        <v>1421</v>
      </c>
      <c r="R1085" s="11">
        <f>SUBTOTAL(3,_xlfn.SINGLE(tbl_file[RowId]))</f>
        <v>1</v>
      </c>
    </row>
    <row r="1086" spans="10:18">
      <c r="J1086" s="4">
        <v>1240</v>
      </c>
      <c r="K1086" s="21" t="str">
        <f t="shared" si="23"/>
        <v>Firefox Privacy Settings</v>
      </c>
      <c r="L1086" s="20" t="s">
        <v>175</v>
      </c>
      <c r="M1086" s="4"/>
      <c r="N1086" s="2" t="s">
        <v>118</v>
      </c>
      <c r="O1086" s="2"/>
      <c r="P1086" s="4">
        <v>1</v>
      </c>
      <c r="Q1086" s="2" t="s">
        <v>1799</v>
      </c>
      <c r="R1086" s="11">
        <f>SUBTOTAL(3,_xlfn.SINGLE(tbl_file[RowId]))</f>
        <v>1</v>
      </c>
    </row>
    <row r="1087" spans="10:18">
      <c r="J1087" s="4">
        <v>1241</v>
      </c>
      <c r="K1087" s="21" t="str">
        <f t="shared" si="23"/>
        <v>Firefox Privacy Settings</v>
      </c>
      <c r="L1087" s="20" t="s">
        <v>175</v>
      </c>
      <c r="M1087" s="4"/>
      <c r="N1087" s="2" t="s">
        <v>127</v>
      </c>
      <c r="O1087" s="2"/>
      <c r="P1087" s="4">
        <v>1</v>
      </c>
      <c r="Q1087" s="2" t="s">
        <v>1956</v>
      </c>
      <c r="R1087" s="11">
        <f>SUBTOTAL(3,_xlfn.SINGLE(tbl_file[RowId]))</f>
        <v>1</v>
      </c>
    </row>
    <row r="1088" spans="10:18">
      <c r="J1088" s="4">
        <v>1242</v>
      </c>
      <c r="K1088" s="21" t="str">
        <f t="shared" si="23"/>
        <v>Firefox Privacy Settings</v>
      </c>
      <c r="L1088" s="20" t="s">
        <v>175</v>
      </c>
      <c r="M1088" s="4"/>
      <c r="N1088" s="2" t="s">
        <v>2606</v>
      </c>
      <c r="O1088" s="2"/>
      <c r="P1088" s="4">
        <v>2</v>
      </c>
      <c r="Q1088" s="2" t="s">
        <v>3004</v>
      </c>
      <c r="R1088" s="11">
        <f>SUBTOTAL(3,_xlfn.SINGLE(tbl_file[RowId]))</f>
        <v>1</v>
      </c>
    </row>
    <row r="1089" spans="10:18">
      <c r="J1089" s="4">
        <v>1243</v>
      </c>
      <c r="K1089" s="21" t="str">
        <f t="shared" si="23"/>
        <v>Firefox Privacy Settings</v>
      </c>
      <c r="L1089" s="20" t="s">
        <v>175</v>
      </c>
      <c r="M1089" s="4"/>
      <c r="N1089" s="2" t="s">
        <v>133</v>
      </c>
      <c r="O1089" s="2"/>
      <c r="P1089" s="4">
        <v>1</v>
      </c>
      <c r="Q1089" s="2" t="s">
        <v>2113</v>
      </c>
      <c r="R1089" s="11">
        <f>SUBTOTAL(3,_xlfn.SINGLE(tbl_file[RowId]))</f>
        <v>1</v>
      </c>
    </row>
    <row r="1090" spans="10:18">
      <c r="J1090" s="4">
        <v>1952</v>
      </c>
      <c r="K1090" s="21" t="str">
        <f>HYPERLINK("obsidian://open?vault=o2&amp;file=Fix%20Drives%20with%20Partition%20Magic.md","Fix Drives with Partition Magic")</f>
        <v>Fix Drives with Partition Magic</v>
      </c>
      <c r="L1090" s="20" t="s">
        <v>175</v>
      </c>
      <c r="M1090" s="4"/>
      <c r="N1090" s="2" t="s">
        <v>50</v>
      </c>
      <c r="O1090" s="2"/>
      <c r="P1090" s="4">
        <v>2</v>
      </c>
      <c r="Q1090" s="2" t="s">
        <v>3092</v>
      </c>
      <c r="R1090" s="11">
        <f>SUBTOTAL(3,_xlfn.SINGLE(tbl_file[RowId]))</f>
        <v>1</v>
      </c>
    </row>
    <row r="1091" spans="10:18">
      <c r="J1091" s="4">
        <v>1953</v>
      </c>
      <c r="K1091" s="21" t="str">
        <f>HYPERLINK("obsidian://open?vault=o2&amp;file=Fix%20Drives%20with%20Partition%20Magic.md","Fix Drives with Partition Magic")</f>
        <v>Fix Drives with Partition Magic</v>
      </c>
      <c r="L1091" s="20" t="s">
        <v>175</v>
      </c>
      <c r="M1091" s="4"/>
      <c r="N1091" s="2" t="s">
        <v>127</v>
      </c>
      <c r="O1091" s="2"/>
      <c r="P1091" s="4">
        <v>1</v>
      </c>
      <c r="Q1091" s="2" t="s">
        <v>1958</v>
      </c>
      <c r="R1091" s="11">
        <f>SUBTOTAL(3,_xlfn.SINGLE(tbl_file[RowId]))</f>
        <v>1</v>
      </c>
    </row>
    <row r="1092" spans="10:18">
      <c r="J1092" s="4">
        <v>1954</v>
      </c>
      <c r="K1092" s="21" t="str">
        <f>HYPERLINK("obsidian://open?vault=o2&amp;file=Fix%20Drives%20with%20Partition%20Magic.md","Fix Drives with Partition Magic")</f>
        <v>Fix Drives with Partition Magic</v>
      </c>
      <c r="L1092" s="20" t="s">
        <v>175</v>
      </c>
      <c r="M1092" s="4"/>
      <c r="N1092" s="2" t="s">
        <v>2606</v>
      </c>
      <c r="O1092" s="2"/>
      <c r="P1092" s="4">
        <v>2</v>
      </c>
      <c r="Q1092" s="2" t="s">
        <v>3093</v>
      </c>
      <c r="R1092" s="11">
        <f>SUBTOTAL(3,_xlfn.SINGLE(tbl_file[RowId]))</f>
        <v>1</v>
      </c>
    </row>
    <row r="1093" spans="10:18">
      <c r="J1093" s="4">
        <v>1955</v>
      </c>
      <c r="K1093" s="21" t="str">
        <f>HYPERLINK("obsidian://open?vault=o2&amp;file=Fix%20Drives%20with%20Partition%20Magic.md","Fix Drives with Partition Magic")</f>
        <v>Fix Drives with Partition Magic</v>
      </c>
      <c r="L1093" s="20" t="s">
        <v>175</v>
      </c>
      <c r="M1093" s="4"/>
      <c r="N1093" s="2" t="s">
        <v>133</v>
      </c>
      <c r="O1093" s="2" t="s">
        <v>2637</v>
      </c>
      <c r="P1093" s="4">
        <v>1</v>
      </c>
      <c r="Q1093" s="2" t="s">
        <v>2107</v>
      </c>
      <c r="R1093" s="11">
        <f>SUBTOTAL(3,_xlfn.SINGLE(tbl_file[RowId]))</f>
        <v>1</v>
      </c>
    </row>
    <row r="1094" spans="10:18">
      <c r="J1094" s="4">
        <v>161</v>
      </c>
      <c r="K1094" s="21" t="str">
        <f>HYPERLINK("obsidian://open?vault=o2&amp;file=Fix%20Hue%20Lights.md","Fix Hue Lights")</f>
        <v>Fix Hue Lights</v>
      </c>
      <c r="L1094" s="20" t="s">
        <v>175</v>
      </c>
      <c r="M1094" s="4"/>
      <c r="N1094" s="2" t="s">
        <v>127</v>
      </c>
      <c r="O1094" s="2"/>
      <c r="P1094" s="4">
        <v>1</v>
      </c>
      <c r="Q1094" s="2" t="s">
        <v>1954</v>
      </c>
      <c r="R1094" s="11">
        <f>SUBTOTAL(3,_xlfn.SINGLE(tbl_file[RowId]))</f>
        <v>1</v>
      </c>
    </row>
    <row r="1095" spans="10:18">
      <c r="J1095" s="4">
        <v>162</v>
      </c>
      <c r="K1095" s="21" t="str">
        <f>HYPERLINK("obsidian://open?vault=o2&amp;file=Fix%20Hue%20Lights.md","Fix Hue Lights")</f>
        <v>Fix Hue Lights</v>
      </c>
      <c r="L1095" s="20" t="s">
        <v>175</v>
      </c>
      <c r="M1095" s="4"/>
      <c r="N1095" s="2" t="s">
        <v>2606</v>
      </c>
      <c r="O1095" s="2"/>
      <c r="P1095" s="4">
        <v>2</v>
      </c>
      <c r="Q1095" s="2" t="s">
        <v>2639</v>
      </c>
      <c r="R1095" s="11">
        <f>SUBTOTAL(3,_xlfn.SINGLE(tbl_file[RowId]))</f>
        <v>1</v>
      </c>
    </row>
    <row r="1096" spans="10:18">
      <c r="J1096" s="4">
        <v>283</v>
      </c>
      <c r="K1096" s="21" t="str">
        <f t="shared" ref="K1096:K1102" si="24">HYPERLINK("obsidian://open?vault=o2&amp;file=Fix%20Sound%20on%20Movies.md","Fix Sound on Movies")</f>
        <v>Fix Sound on Movies</v>
      </c>
      <c r="L1096" s="20" t="s">
        <v>175</v>
      </c>
      <c r="M1096" s="4"/>
      <c r="N1096" s="2" t="s">
        <v>13</v>
      </c>
      <c r="O1096" s="2"/>
      <c r="P1096" s="4">
        <v>1</v>
      </c>
      <c r="Q1096" s="2" t="s">
        <v>336</v>
      </c>
      <c r="R1096" s="11">
        <f>SUBTOTAL(3,_xlfn.SINGLE(tbl_file[RowId]))</f>
        <v>1</v>
      </c>
    </row>
    <row r="1097" spans="10:18">
      <c r="J1097" s="4">
        <v>284</v>
      </c>
      <c r="K1097" s="21" t="str">
        <f t="shared" si="24"/>
        <v>Fix Sound on Movies</v>
      </c>
      <c r="L1097" s="20" t="s">
        <v>175</v>
      </c>
      <c r="M1097" s="4"/>
      <c r="N1097" s="2" t="s">
        <v>19</v>
      </c>
      <c r="O1097" s="2"/>
      <c r="P1097" s="4">
        <v>1</v>
      </c>
      <c r="Q1097" s="2" t="s">
        <v>393</v>
      </c>
      <c r="R1097" s="11">
        <f>SUBTOTAL(3,_xlfn.SINGLE(tbl_file[RowId]))</f>
        <v>1</v>
      </c>
    </row>
    <row r="1098" spans="10:18">
      <c r="J1098" s="4">
        <v>285</v>
      </c>
      <c r="K1098" s="21" t="str">
        <f t="shared" si="24"/>
        <v>Fix Sound on Movies</v>
      </c>
      <c r="L1098" s="20" t="s">
        <v>175</v>
      </c>
      <c r="M1098" s="4"/>
      <c r="N1098" s="2" t="s">
        <v>48</v>
      </c>
      <c r="O1098" s="2"/>
      <c r="P1098" s="4">
        <v>4</v>
      </c>
      <c r="Q1098" s="2" t="s">
        <v>2658</v>
      </c>
      <c r="R1098" s="11">
        <f>SUBTOTAL(3,_xlfn.SINGLE(tbl_file[RowId]))</f>
        <v>1</v>
      </c>
    </row>
    <row r="1099" spans="10:18">
      <c r="J1099" s="4">
        <v>286</v>
      </c>
      <c r="K1099" s="21" t="str">
        <f t="shared" si="24"/>
        <v>Fix Sound on Movies</v>
      </c>
      <c r="L1099" s="20" t="s">
        <v>175</v>
      </c>
      <c r="M1099" s="4"/>
      <c r="N1099" s="2" t="s">
        <v>125</v>
      </c>
      <c r="O1099" s="2"/>
      <c r="P1099" s="4">
        <v>1</v>
      </c>
      <c r="Q1099" s="2" t="s">
        <v>1895</v>
      </c>
      <c r="R1099" s="11">
        <f>SUBTOTAL(3,_xlfn.SINGLE(tbl_file[RowId]))</f>
        <v>1</v>
      </c>
    </row>
    <row r="1100" spans="10:18">
      <c r="J1100" s="4">
        <v>287</v>
      </c>
      <c r="K1100" s="21" t="str">
        <f t="shared" si="24"/>
        <v>Fix Sound on Movies</v>
      </c>
      <c r="L1100" s="20" t="s">
        <v>175</v>
      </c>
      <c r="M1100" s="4"/>
      <c r="N1100" s="2" t="s">
        <v>127</v>
      </c>
      <c r="O1100" s="2"/>
      <c r="P1100" s="4">
        <v>1</v>
      </c>
      <c r="Q1100" s="2" t="s">
        <v>1960</v>
      </c>
      <c r="R1100" s="11">
        <f>SUBTOTAL(3,_xlfn.SINGLE(tbl_file[RowId]))</f>
        <v>1</v>
      </c>
    </row>
    <row r="1101" spans="10:18">
      <c r="J1101" s="4">
        <v>288</v>
      </c>
      <c r="K1101" s="21" t="str">
        <f t="shared" si="24"/>
        <v>Fix Sound on Movies</v>
      </c>
      <c r="L1101" s="20" t="s">
        <v>175</v>
      </c>
      <c r="M1101" s="4"/>
      <c r="N1101" s="2" t="s">
        <v>2606</v>
      </c>
      <c r="O1101" s="2"/>
      <c r="P1101" s="4">
        <v>2</v>
      </c>
      <c r="Q1101" s="2" t="s">
        <v>2624</v>
      </c>
      <c r="R1101" s="11">
        <f>SUBTOTAL(3,_xlfn.SINGLE(tbl_file[RowId]))</f>
        <v>1</v>
      </c>
    </row>
    <row r="1102" spans="10:18">
      <c r="J1102" s="4">
        <v>289</v>
      </c>
      <c r="K1102" s="21" t="str">
        <f t="shared" si="24"/>
        <v>Fix Sound on Movies</v>
      </c>
      <c r="L1102" s="20" t="s">
        <v>175</v>
      </c>
      <c r="M1102" s="4"/>
      <c r="N1102" s="2" t="s">
        <v>133</v>
      </c>
      <c r="O1102" s="2"/>
      <c r="P1102" s="4">
        <v>1</v>
      </c>
      <c r="Q1102" s="2" t="s">
        <v>2111</v>
      </c>
      <c r="R1102" s="11">
        <f>SUBTOTAL(3,_xlfn.SINGLE(tbl_file[RowId]))</f>
        <v>1</v>
      </c>
    </row>
    <row r="1103" spans="10:18">
      <c r="J1103" s="4">
        <v>605</v>
      </c>
      <c r="K1103" s="21" t="str">
        <f t="shared" ref="K1103:K1115" si="25">HYPERLINK("obsidian://open?vault=o2&amp;file=Flat%20Icon%20and%20Shadow%20Using%20The%20Blend%20Tool%20In%20Adobe%20Illustrator.md","Flat Icon and Shadow Using The Blend Tool In Adobe Illustrator")</f>
        <v>Flat Icon and Shadow Using The Blend Tool In Adobe Illustrator</v>
      </c>
      <c r="L1103" s="20" t="s">
        <v>175</v>
      </c>
      <c r="M1103" s="4"/>
      <c r="N1103" s="2" t="s">
        <v>11</v>
      </c>
      <c r="O1103" s="2"/>
      <c r="P1103" s="4">
        <v>1</v>
      </c>
      <c r="Q1103" s="2" t="s">
        <v>212</v>
      </c>
      <c r="R1103" s="11">
        <f>SUBTOTAL(3,_xlfn.SINGLE(tbl_file[RowId]))</f>
        <v>1</v>
      </c>
    </row>
    <row r="1104" spans="10:18">
      <c r="J1104" s="4">
        <v>606</v>
      </c>
      <c r="K1104" s="21" t="str">
        <f t="shared" si="25"/>
        <v>Flat Icon and Shadow Using The Blend Tool In Adobe Illustrator</v>
      </c>
      <c r="L1104" s="20" t="s">
        <v>175</v>
      </c>
      <c r="M1104" s="4"/>
      <c r="N1104" s="2" t="s">
        <v>13</v>
      </c>
      <c r="O1104" s="2"/>
      <c r="P1104" s="4">
        <v>1</v>
      </c>
      <c r="Q1104" s="2" t="s">
        <v>296</v>
      </c>
      <c r="R1104" s="11">
        <f>SUBTOTAL(3,_xlfn.SINGLE(tbl_file[RowId]))</f>
        <v>1</v>
      </c>
    </row>
    <row r="1105" spans="10:18">
      <c r="J1105" s="4">
        <v>607</v>
      </c>
      <c r="K1105" s="21" t="str">
        <f t="shared" si="25"/>
        <v>Flat Icon and Shadow Using The Blend Tool In Adobe Illustrator</v>
      </c>
      <c r="L1105" s="20" t="s">
        <v>175</v>
      </c>
      <c r="M1105" s="4"/>
      <c r="N1105" s="2" t="s">
        <v>16</v>
      </c>
      <c r="O1105" s="2"/>
      <c r="P1105" s="4">
        <v>1</v>
      </c>
      <c r="Q1105" s="2" t="s">
        <v>296</v>
      </c>
      <c r="R1105" s="11">
        <f>SUBTOTAL(3,_xlfn.SINGLE(tbl_file[RowId]))</f>
        <v>1</v>
      </c>
    </row>
    <row r="1106" spans="10:18">
      <c r="J1106" s="4">
        <v>608</v>
      </c>
      <c r="K1106" s="21" t="str">
        <f t="shared" si="25"/>
        <v>Flat Icon and Shadow Using The Blend Tool In Adobe Illustrator</v>
      </c>
      <c r="L1106" s="20" t="s">
        <v>175</v>
      </c>
      <c r="M1106" s="4"/>
      <c r="N1106" s="2" t="s">
        <v>37</v>
      </c>
      <c r="O1106" s="2"/>
      <c r="P1106" s="4">
        <v>1</v>
      </c>
      <c r="Q1106" s="2" t="s">
        <v>571</v>
      </c>
      <c r="R1106" s="11">
        <f>SUBTOTAL(3,_xlfn.SINGLE(tbl_file[RowId]))</f>
        <v>1</v>
      </c>
    </row>
    <row r="1107" spans="10:18">
      <c r="J1107" s="4">
        <v>609</v>
      </c>
      <c r="K1107" s="21" t="str">
        <f t="shared" si="25"/>
        <v>Flat Icon and Shadow Using The Blend Tool In Adobe Illustrator</v>
      </c>
      <c r="L1107" s="20" t="s">
        <v>175</v>
      </c>
      <c r="M1107" s="4"/>
      <c r="N1107" s="2" t="s">
        <v>45</v>
      </c>
      <c r="O1107" s="2"/>
      <c r="P1107" s="4">
        <v>1</v>
      </c>
      <c r="Q1107" s="2" t="s">
        <v>616</v>
      </c>
      <c r="R1107" s="11">
        <f>SUBTOTAL(3,_xlfn.SINGLE(tbl_file[RowId]))</f>
        <v>1</v>
      </c>
    </row>
    <row r="1108" spans="10:18">
      <c r="J1108" s="4">
        <v>610</v>
      </c>
      <c r="K1108" s="21" t="str">
        <f t="shared" si="25"/>
        <v>Flat Icon and Shadow Using The Blend Tool In Adobe Illustrator</v>
      </c>
      <c r="L1108" s="20" t="s">
        <v>175</v>
      </c>
      <c r="M1108" s="4"/>
      <c r="N1108" s="2" t="s">
        <v>48</v>
      </c>
      <c r="O1108" s="2"/>
      <c r="P1108" s="4">
        <v>15</v>
      </c>
      <c r="Q1108" s="2" t="s">
        <v>2728</v>
      </c>
      <c r="R1108" s="11">
        <f>SUBTOTAL(3,_xlfn.SINGLE(tbl_file[RowId]))</f>
        <v>1</v>
      </c>
    </row>
    <row r="1109" spans="10:18">
      <c r="J1109" s="4">
        <v>611</v>
      </c>
      <c r="K1109" s="21" t="str">
        <f t="shared" si="25"/>
        <v>Flat Icon and Shadow Using The Blend Tool In Adobe Illustrator</v>
      </c>
      <c r="L1109" s="20" t="s">
        <v>175</v>
      </c>
      <c r="M1109" s="4"/>
      <c r="N1109" s="2" t="s">
        <v>119</v>
      </c>
      <c r="O1109" s="2"/>
      <c r="P1109" s="4">
        <v>1</v>
      </c>
      <c r="Q1109" s="2" t="s">
        <v>2729</v>
      </c>
      <c r="R1109" s="11">
        <f>SUBTOTAL(3,_xlfn.SINGLE(tbl_file[RowId]))</f>
        <v>1</v>
      </c>
    </row>
    <row r="1110" spans="10:18">
      <c r="J1110" s="4">
        <v>612</v>
      </c>
      <c r="K1110" s="21" t="str">
        <f t="shared" si="25"/>
        <v>Flat Icon and Shadow Using The Blend Tool In Adobe Illustrator</v>
      </c>
      <c r="L1110" s="20" t="s">
        <v>175</v>
      </c>
      <c r="M1110" s="4"/>
      <c r="N1110" s="2" t="s">
        <v>126</v>
      </c>
      <c r="O1110" s="2"/>
      <c r="P1110" s="4">
        <v>1</v>
      </c>
      <c r="Q1110" s="2" t="s">
        <v>2730</v>
      </c>
      <c r="R1110" s="11">
        <f>SUBTOTAL(3,_xlfn.SINGLE(tbl_file[RowId]))</f>
        <v>1</v>
      </c>
    </row>
    <row r="1111" spans="10:18">
      <c r="J1111" s="4">
        <v>613</v>
      </c>
      <c r="K1111" s="21" t="str">
        <f t="shared" si="25"/>
        <v>Flat Icon and Shadow Using The Blend Tool In Adobe Illustrator</v>
      </c>
      <c r="L1111" s="20" t="s">
        <v>175</v>
      </c>
      <c r="M1111" s="4"/>
      <c r="N1111" s="2" t="s">
        <v>2606</v>
      </c>
      <c r="O1111" s="2"/>
      <c r="P1111" s="4">
        <v>2</v>
      </c>
      <c r="Q1111" s="2" t="s">
        <v>2709</v>
      </c>
      <c r="R1111" s="11">
        <f>SUBTOTAL(3,_xlfn.SINGLE(tbl_file[RowId]))</f>
        <v>1</v>
      </c>
    </row>
    <row r="1112" spans="10:18">
      <c r="J1112" s="4">
        <v>614</v>
      </c>
      <c r="K1112" s="21" t="str">
        <f t="shared" si="25"/>
        <v>Flat Icon and Shadow Using The Blend Tool In Adobe Illustrator</v>
      </c>
      <c r="L1112" s="20" t="s">
        <v>175</v>
      </c>
      <c r="M1112" s="4"/>
      <c r="N1112" s="2" t="s">
        <v>131</v>
      </c>
      <c r="O1112" s="2"/>
      <c r="P1112" s="4">
        <v>1</v>
      </c>
      <c r="Q1112" s="2" t="s">
        <v>2005</v>
      </c>
      <c r="R1112" s="11">
        <f>SUBTOTAL(3,_xlfn.SINGLE(tbl_file[RowId]))</f>
        <v>1</v>
      </c>
    </row>
    <row r="1113" spans="10:18">
      <c r="J1113" s="4">
        <v>615</v>
      </c>
      <c r="K1113" s="21" t="str">
        <f t="shared" si="25"/>
        <v>Flat Icon and Shadow Using The Blend Tool In Adobe Illustrator</v>
      </c>
      <c r="L1113" s="20" t="s">
        <v>175</v>
      </c>
      <c r="M1113" s="4"/>
      <c r="N1113" s="2" t="s">
        <v>132</v>
      </c>
      <c r="O1113" s="2"/>
      <c r="P1113" s="4">
        <v>1</v>
      </c>
      <c r="Q1113" s="2" t="s">
        <v>212</v>
      </c>
      <c r="R1113" s="11">
        <f>SUBTOTAL(3,_xlfn.SINGLE(tbl_file[RowId]))</f>
        <v>1</v>
      </c>
    </row>
    <row r="1114" spans="10:18">
      <c r="J1114" s="4">
        <v>616</v>
      </c>
      <c r="K1114" s="21" t="str">
        <f t="shared" si="25"/>
        <v>Flat Icon and Shadow Using The Blend Tool In Adobe Illustrator</v>
      </c>
      <c r="L1114" s="20" t="s">
        <v>175</v>
      </c>
      <c r="M1114" s="4"/>
      <c r="N1114" s="2" t="s">
        <v>137</v>
      </c>
      <c r="O1114" s="2"/>
      <c r="P1114" s="4">
        <v>1</v>
      </c>
      <c r="Q1114" s="2" t="s">
        <v>2235</v>
      </c>
      <c r="R1114" s="11">
        <f>SUBTOTAL(3,_xlfn.SINGLE(tbl_file[RowId]))</f>
        <v>1</v>
      </c>
    </row>
    <row r="1115" spans="10:18">
      <c r="J1115" s="4">
        <v>617</v>
      </c>
      <c r="K1115" s="21" t="str">
        <f t="shared" si="25"/>
        <v>Flat Icon and Shadow Using The Blend Tool In Adobe Illustrator</v>
      </c>
      <c r="L1115" s="20" t="s">
        <v>175</v>
      </c>
      <c r="M1115" s="4" t="s">
        <v>2626</v>
      </c>
      <c r="N1115" s="2" t="s">
        <v>2606</v>
      </c>
      <c r="O1115" s="2"/>
      <c r="P1115" s="4">
        <v>2</v>
      </c>
      <c r="Q1115" s="2" t="s">
        <v>2731</v>
      </c>
      <c r="R1115" s="11">
        <f>SUBTOTAL(3,_xlfn.SINGLE(tbl_file[RowId]))</f>
        <v>1</v>
      </c>
    </row>
    <row r="1116" spans="10:18">
      <c r="J1116" s="4">
        <v>1957</v>
      </c>
      <c r="K1116" s="21" t="str">
        <f>HYPERLINK("obsidian://open?vault=o2&amp;file=Fleeting%20Notes.md","Fleeting Notes")</f>
        <v>Fleeting Notes</v>
      </c>
      <c r="L1116" s="20" t="s">
        <v>175</v>
      </c>
      <c r="M1116" s="4"/>
      <c r="N1116" s="2" t="s">
        <v>50</v>
      </c>
      <c r="O1116" s="2"/>
      <c r="P1116" s="4">
        <v>1</v>
      </c>
      <c r="Q1116" s="2" t="s">
        <v>1482</v>
      </c>
      <c r="R1116" s="11">
        <f>SUBTOTAL(3,_xlfn.SINGLE(tbl_file[RowId]))</f>
        <v>1</v>
      </c>
    </row>
    <row r="1117" spans="10:18">
      <c r="J1117" s="4">
        <v>1956</v>
      </c>
      <c r="K1117" s="21" t="str">
        <f>HYPERLINK("obsidian://open?vault=o2&amp;file=Fleeting%20Notes%20App.md","Fleeting Notes App")</f>
        <v>Fleeting Notes App</v>
      </c>
      <c r="L1117" s="20" t="s">
        <v>175</v>
      </c>
      <c r="M1117" s="4"/>
      <c r="N1117" s="2" t="s">
        <v>50</v>
      </c>
      <c r="O1117" s="2"/>
      <c r="P1117" s="4">
        <v>1</v>
      </c>
      <c r="Q1117" s="2" t="s">
        <v>1480</v>
      </c>
      <c r="R1117" s="11">
        <f>SUBTOTAL(3,_xlfn.SINGLE(tbl_file[RowId]))</f>
        <v>1</v>
      </c>
    </row>
    <row r="1118" spans="10:18">
      <c r="J1118" s="4">
        <v>985</v>
      </c>
      <c r="K1118"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18" s="20" t="s">
        <v>175</v>
      </c>
      <c r="M1118" s="4"/>
      <c r="N1118" s="2" t="s">
        <v>33</v>
      </c>
      <c r="O1118" s="2"/>
      <c r="P1118" s="4">
        <v>1</v>
      </c>
      <c r="Q1118" s="2" t="s">
        <v>475</v>
      </c>
      <c r="R1118" s="11">
        <f>SUBTOTAL(3,_xlfn.SINGLE(tbl_file[RowId]))</f>
        <v>1</v>
      </c>
    </row>
    <row r="1119" spans="10:18">
      <c r="J1119" s="4">
        <v>986</v>
      </c>
      <c r="K1119"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19" s="20" t="s">
        <v>175</v>
      </c>
      <c r="M1119" s="4"/>
      <c r="N1119" s="2" t="s">
        <v>46</v>
      </c>
      <c r="O1119" s="2"/>
      <c r="P1119" s="4">
        <v>1</v>
      </c>
      <c r="Q1119" s="2" t="s">
        <v>653</v>
      </c>
      <c r="R1119" s="11">
        <f>SUBTOTAL(3,_xlfn.SINGLE(tbl_file[RowId]))</f>
        <v>1</v>
      </c>
    </row>
    <row r="1120" spans="10:18">
      <c r="J1120" s="4">
        <v>987</v>
      </c>
      <c r="K1120"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20" s="20" t="s">
        <v>175</v>
      </c>
      <c r="M1120" s="4"/>
      <c r="N1120" s="2" t="s">
        <v>132</v>
      </c>
      <c r="O1120" s="2"/>
      <c r="P1120" s="4">
        <v>1</v>
      </c>
      <c r="Q1120" s="2" t="s">
        <v>2043</v>
      </c>
      <c r="R1120" s="11">
        <f>SUBTOTAL(3,_xlfn.SINGLE(tbl_file[RowId]))</f>
        <v>1</v>
      </c>
    </row>
    <row r="1121" spans="10:18">
      <c r="J1121" s="4">
        <v>988</v>
      </c>
      <c r="K1121"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21" s="20" t="s">
        <v>175</v>
      </c>
      <c r="M1121" s="4"/>
      <c r="N1121" s="2" t="s">
        <v>137</v>
      </c>
      <c r="O1121" s="2"/>
      <c r="P1121" s="4">
        <v>1</v>
      </c>
      <c r="Q1121" s="2" t="s">
        <v>2175</v>
      </c>
      <c r="R1121" s="11">
        <f>SUBTOTAL(3,_xlfn.SINGLE(tbl_file[RowId]))</f>
        <v>1</v>
      </c>
    </row>
    <row r="1122" spans="10:18">
      <c r="J1122" s="4">
        <v>989</v>
      </c>
      <c r="K1122"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22" s="20" t="s">
        <v>175</v>
      </c>
      <c r="M1122" s="4" t="s">
        <v>2626</v>
      </c>
      <c r="N1122" s="2" t="s">
        <v>2606</v>
      </c>
      <c r="O1122" s="2"/>
      <c r="P1122" s="4">
        <v>2</v>
      </c>
      <c r="Q1122" s="2" t="s">
        <v>2972</v>
      </c>
      <c r="R1122" s="11">
        <f>SUBTOTAL(3,_xlfn.SINGLE(tbl_file[RowId]))</f>
        <v>1</v>
      </c>
    </row>
    <row r="1123" spans="10:18">
      <c r="J1123" s="4">
        <v>990</v>
      </c>
      <c r="K1123"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3" s="20" t="s">
        <v>175</v>
      </c>
      <c r="M1123" s="4"/>
      <c r="N1123" s="2" t="s">
        <v>33</v>
      </c>
      <c r="O1123" s="2"/>
      <c r="P1123" s="4">
        <v>1</v>
      </c>
      <c r="Q1123" s="2" t="s">
        <v>479</v>
      </c>
      <c r="R1123" s="11">
        <f>SUBTOTAL(3,_xlfn.SINGLE(tbl_file[RowId]))</f>
        <v>1</v>
      </c>
    </row>
    <row r="1124" spans="10:18">
      <c r="J1124" s="4">
        <v>991</v>
      </c>
      <c r="K1124"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4" s="20" t="s">
        <v>175</v>
      </c>
      <c r="M1124" s="4"/>
      <c r="N1124" s="2" t="s">
        <v>46</v>
      </c>
      <c r="O1124" s="2"/>
      <c r="P1124" s="4">
        <v>1</v>
      </c>
      <c r="Q1124" s="2" t="s">
        <v>655</v>
      </c>
      <c r="R1124" s="11">
        <f>SUBTOTAL(3,_xlfn.SINGLE(tbl_file[RowId]))</f>
        <v>1</v>
      </c>
    </row>
    <row r="1125" spans="10:18">
      <c r="J1125" s="4">
        <v>992</v>
      </c>
      <c r="K1125"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5" s="20" t="s">
        <v>175</v>
      </c>
      <c r="M1125" s="4"/>
      <c r="N1125" s="2" t="s">
        <v>132</v>
      </c>
      <c r="O1125" s="2"/>
      <c r="P1125" s="4">
        <v>1</v>
      </c>
      <c r="Q1125" s="2" t="s">
        <v>2045</v>
      </c>
      <c r="R1125" s="11">
        <f>SUBTOTAL(3,_xlfn.SINGLE(tbl_file[RowId]))</f>
        <v>1</v>
      </c>
    </row>
    <row r="1126" spans="10:18">
      <c r="J1126" s="4">
        <v>993</v>
      </c>
      <c r="K1126"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6" s="20" t="s">
        <v>175</v>
      </c>
      <c r="M1126" s="4"/>
      <c r="N1126" s="2" t="s">
        <v>137</v>
      </c>
      <c r="O1126" s="2"/>
      <c r="P1126" s="4">
        <v>1</v>
      </c>
      <c r="Q1126" s="2" t="s">
        <v>2177</v>
      </c>
      <c r="R1126" s="11">
        <f>SUBTOTAL(3,_xlfn.SINGLE(tbl_file[RowId]))</f>
        <v>1</v>
      </c>
    </row>
    <row r="1127" spans="10:18">
      <c r="J1127" s="4">
        <v>994</v>
      </c>
      <c r="K1127"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7" s="20" t="s">
        <v>175</v>
      </c>
      <c r="M1127" s="4" t="s">
        <v>2626</v>
      </c>
      <c r="N1127" s="2" t="s">
        <v>2606</v>
      </c>
      <c r="O1127" s="2"/>
      <c r="P1127" s="4">
        <v>1</v>
      </c>
      <c r="Q1127" s="2" t="s">
        <v>2537</v>
      </c>
      <c r="R1127" s="11">
        <f>SUBTOTAL(3,_xlfn.SINGLE(tbl_file[RowId]))</f>
        <v>1</v>
      </c>
    </row>
    <row r="1128" spans="10:18">
      <c r="J1128" s="4">
        <v>975</v>
      </c>
      <c r="K1128"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28" s="20" t="s">
        <v>175</v>
      </c>
      <c r="M1128" s="4"/>
      <c r="N1128" s="2" t="s">
        <v>33</v>
      </c>
      <c r="O1128" s="2"/>
      <c r="P1128" s="4">
        <v>1</v>
      </c>
      <c r="Q1128" s="2" t="s">
        <v>475</v>
      </c>
      <c r="R1128" s="11">
        <f>SUBTOTAL(3,_xlfn.SINGLE(tbl_file[RowId]))</f>
        <v>1</v>
      </c>
    </row>
    <row r="1129" spans="10:18">
      <c r="J1129" s="4">
        <v>976</v>
      </c>
      <c r="K1129"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29" s="20" t="s">
        <v>175</v>
      </c>
      <c r="M1129" s="4"/>
      <c r="N1129" s="2" t="s">
        <v>46</v>
      </c>
      <c r="O1129" s="2"/>
      <c r="P1129" s="4">
        <v>1</v>
      </c>
      <c r="Q1129" s="2" t="s">
        <v>649</v>
      </c>
      <c r="R1129" s="11">
        <f>SUBTOTAL(3,_xlfn.SINGLE(tbl_file[RowId]))</f>
        <v>1</v>
      </c>
    </row>
    <row r="1130" spans="10:18">
      <c r="J1130" s="4">
        <v>977</v>
      </c>
      <c r="K1130"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30" s="20" t="s">
        <v>175</v>
      </c>
      <c r="M1130" s="4"/>
      <c r="N1130" s="2" t="s">
        <v>132</v>
      </c>
      <c r="O1130" s="2"/>
      <c r="P1130" s="4">
        <v>1</v>
      </c>
      <c r="Q1130" s="2" t="s">
        <v>2041</v>
      </c>
      <c r="R1130" s="11">
        <f>SUBTOTAL(3,_xlfn.SINGLE(tbl_file[RowId]))</f>
        <v>1</v>
      </c>
    </row>
    <row r="1131" spans="10:18">
      <c r="J1131" s="4">
        <v>978</v>
      </c>
      <c r="K1131"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31" s="20" t="s">
        <v>175</v>
      </c>
      <c r="M1131" s="4"/>
      <c r="N1131" s="2" t="s">
        <v>137</v>
      </c>
      <c r="O1131" s="2"/>
      <c r="P1131" s="4">
        <v>1</v>
      </c>
      <c r="Q1131" s="2" t="s">
        <v>2173</v>
      </c>
      <c r="R1131" s="11">
        <f>SUBTOTAL(3,_xlfn.SINGLE(tbl_file[RowId]))</f>
        <v>1</v>
      </c>
    </row>
    <row r="1132" spans="10:18">
      <c r="J1132" s="4">
        <v>979</v>
      </c>
      <c r="K1132"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32" s="20" t="s">
        <v>175</v>
      </c>
      <c r="M1132" s="4" t="s">
        <v>2626</v>
      </c>
      <c r="N1132" s="2" t="s">
        <v>2606</v>
      </c>
      <c r="O1132" s="2"/>
      <c r="P1132" s="4">
        <v>2</v>
      </c>
      <c r="Q1132" s="2" t="s">
        <v>2972</v>
      </c>
      <c r="R1132" s="11">
        <f>SUBTOTAL(3,_xlfn.SINGLE(tbl_file[RowId]))</f>
        <v>1</v>
      </c>
    </row>
    <row r="1133" spans="10:18">
      <c r="J1133" s="4">
        <v>980</v>
      </c>
      <c r="K1133" s="21" t="str">
        <f>HYPERLINK("obsidian://open?vault=o2&amp;file=Forget%20ChatGPT-You%20will%20not%20regret%20using%20these%20AI%20tools%20in%202023-Part%202.md","Forget ChatGPT-You will not regret using these AI tools in 2023-Part 2")</f>
        <v>Forget ChatGPT-You will not regret using these AI tools in 2023-Part 2</v>
      </c>
      <c r="L1133" s="20" t="s">
        <v>175</v>
      </c>
      <c r="M1133" s="4"/>
      <c r="N1133" s="2" t="s">
        <v>33</v>
      </c>
      <c r="O1133" s="2"/>
      <c r="P1133" s="4">
        <v>1</v>
      </c>
      <c r="Q1133" s="2" t="s">
        <v>477</v>
      </c>
      <c r="R1133" s="11">
        <f>SUBTOTAL(3,_xlfn.SINGLE(tbl_file[RowId]))</f>
        <v>1</v>
      </c>
    </row>
    <row r="1134" spans="10:18">
      <c r="J1134" s="4">
        <v>981</v>
      </c>
      <c r="K1134" s="21" t="str">
        <f>HYPERLINK("obsidian://open?vault=o2&amp;file=Forget%20ChatGPT-You%20will%20not%20regret%20using%20these%20AI%20tools%20in%202023-Part%202.md","Forget ChatGPT-You will not regret using these AI tools in 2023-Part 2")</f>
        <v>Forget ChatGPT-You will not regret using these AI tools in 2023-Part 2</v>
      </c>
      <c r="L1134" s="20" t="s">
        <v>175</v>
      </c>
      <c r="M1134" s="4"/>
      <c r="N1134" s="2" t="s">
        <v>46</v>
      </c>
      <c r="O1134" s="2"/>
      <c r="P1134" s="4">
        <v>1</v>
      </c>
      <c r="Q1134" s="2" t="s">
        <v>651</v>
      </c>
      <c r="R1134" s="11">
        <f>SUBTOTAL(3,_xlfn.SINGLE(tbl_file[RowId]))</f>
        <v>1</v>
      </c>
    </row>
    <row r="1135" spans="10:18">
      <c r="J1135" s="4">
        <v>982</v>
      </c>
      <c r="K1135" s="21" t="str">
        <f>HYPERLINK("obsidian://open?vault=o2&amp;file=Forget%20ChatGPT-You%20will%20not%20regret%20using%20these%20AI%20tools%20in%202023-Part%202.md","Forget ChatGPT-You will not regret using these AI tools in 2023-Part 2")</f>
        <v>Forget ChatGPT-You will not regret using these AI tools in 2023-Part 2</v>
      </c>
      <c r="L1135" s="20" t="s">
        <v>175</v>
      </c>
      <c r="M1135" s="4"/>
      <c r="N1135" s="2" t="s">
        <v>132</v>
      </c>
      <c r="O1135" s="2"/>
      <c r="P1135" s="4">
        <v>1</v>
      </c>
      <c r="Q1135" s="2" t="s">
        <v>2080</v>
      </c>
      <c r="R1135" s="11">
        <f>SUBTOTAL(3,_xlfn.SINGLE(tbl_file[RowId]))</f>
        <v>1</v>
      </c>
    </row>
    <row r="1136" spans="10:18">
      <c r="J1136" s="4">
        <v>983</v>
      </c>
      <c r="K1136" s="21" t="str">
        <f>HYPERLINK("obsidian://open?vault=o2&amp;file=Forget%20ChatGPT-You%20will%20not%20regret%20using%20these%20AI%20tools%20in%202023-Part%202.md","Forget ChatGPT-You will not regret using these AI tools in 2023-Part 2")</f>
        <v>Forget ChatGPT-You will not regret using these AI tools in 2023-Part 2</v>
      </c>
      <c r="L1136" s="20" t="s">
        <v>175</v>
      </c>
      <c r="M1136" s="4"/>
      <c r="N1136" s="2" t="s">
        <v>137</v>
      </c>
      <c r="O1136" s="2"/>
      <c r="P1136" s="4">
        <v>1</v>
      </c>
      <c r="Q1136" s="2" t="s">
        <v>2181</v>
      </c>
      <c r="R1136" s="11">
        <f>SUBTOTAL(3,_xlfn.SINGLE(tbl_file[RowId]))</f>
        <v>1</v>
      </c>
    </row>
    <row r="1137" spans="10:18">
      <c r="J1137" s="4">
        <v>984</v>
      </c>
      <c r="K1137" s="21" t="str">
        <f>HYPERLINK("obsidian://open?vault=o2&amp;file=Forget%20ChatGPT-You%20will%20not%20regret%20using%20these%20AI%20tools%20in%202023-Part%202.md","Forget ChatGPT-You will not regret using these AI tools in 2023-Part 2")</f>
        <v>Forget ChatGPT-You will not regret using these AI tools in 2023-Part 2</v>
      </c>
      <c r="L1137" s="20" t="s">
        <v>175</v>
      </c>
      <c r="M1137" s="4" t="s">
        <v>2626</v>
      </c>
      <c r="N1137" s="2" t="s">
        <v>2606</v>
      </c>
      <c r="O1137" s="2"/>
      <c r="P1137" s="4">
        <v>1</v>
      </c>
      <c r="Q1137" s="2" t="s">
        <v>2537</v>
      </c>
      <c r="R1137" s="11">
        <f>SUBTOTAL(3,_xlfn.SINGLE(tbl_file[RowId]))</f>
        <v>1</v>
      </c>
    </row>
    <row r="1138" spans="10:18">
      <c r="J1138" s="4">
        <v>995</v>
      </c>
      <c r="K1138"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L1138" s="20" t="s">
        <v>175</v>
      </c>
      <c r="M1138" s="4"/>
      <c r="N1138" s="2" t="s">
        <v>13</v>
      </c>
      <c r="O1138" s="2"/>
      <c r="P1138" s="4">
        <v>1</v>
      </c>
      <c r="Q1138" s="2" t="s">
        <v>298</v>
      </c>
      <c r="R1138" s="11">
        <f>SUBTOTAL(3,_xlfn.SINGLE(tbl_file[RowId]))</f>
        <v>1</v>
      </c>
    </row>
    <row r="1139" spans="10:18">
      <c r="J1139" s="4">
        <v>996</v>
      </c>
      <c r="K1139"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L1139" s="20" t="s">
        <v>175</v>
      </c>
      <c r="M1139" s="4"/>
      <c r="N1139" s="2" t="s">
        <v>19</v>
      </c>
      <c r="O1139" s="2"/>
      <c r="P1139" s="4">
        <v>1</v>
      </c>
      <c r="Q1139" s="2" t="s">
        <v>398</v>
      </c>
      <c r="R1139" s="11">
        <f>SUBTOTAL(3,_xlfn.SINGLE(tbl_file[RowId]))</f>
        <v>1</v>
      </c>
    </row>
    <row r="1140" spans="10:18">
      <c r="J1140" s="4">
        <v>997</v>
      </c>
      <c r="K1140"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L1140" s="20" t="s">
        <v>175</v>
      </c>
      <c r="M1140" s="4"/>
      <c r="N1140" s="2" t="s">
        <v>125</v>
      </c>
      <c r="O1140" s="2"/>
      <c r="P1140" s="4">
        <v>1</v>
      </c>
      <c r="Q1140" s="2" t="s">
        <v>1889</v>
      </c>
      <c r="R1140" s="11">
        <f>SUBTOTAL(3,_xlfn.SINGLE(tbl_file[RowId]))</f>
        <v>1</v>
      </c>
    </row>
    <row r="1141" spans="10:18">
      <c r="J1141" s="4">
        <v>998</v>
      </c>
      <c r="K1141"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L1141" s="20" t="s">
        <v>175</v>
      </c>
      <c r="M1141" s="4"/>
      <c r="N1141" s="2" t="s">
        <v>2606</v>
      </c>
      <c r="O1141" s="2"/>
      <c r="P1141" s="4">
        <v>1</v>
      </c>
      <c r="Q1141" s="2" t="s">
        <v>2537</v>
      </c>
      <c r="R1141" s="11">
        <f>SUBTOTAL(3,_xlfn.SINGLE(tbl_file[RowId]))</f>
        <v>1</v>
      </c>
    </row>
    <row r="1142" spans="10:18">
      <c r="J1142" s="4">
        <v>897</v>
      </c>
      <c r="K1142" s="21" t="str">
        <f t="shared" ref="K1142:K1148" si="26">HYPERLINK("obsidian://open?vault=o2&amp;file=Forte-Building%20a%20Second%20Brain.md","Forte-Building a Second Brain")</f>
        <v>Forte-Building a Second Brain</v>
      </c>
      <c r="L1142" s="20" t="s">
        <v>175</v>
      </c>
      <c r="M1142" s="4"/>
      <c r="N1142" s="2" t="s">
        <v>2917</v>
      </c>
      <c r="O1142" s="2"/>
      <c r="P1142" s="4">
        <v>1</v>
      </c>
      <c r="Q1142" s="2" t="s">
        <v>2935</v>
      </c>
      <c r="R1142" s="11">
        <f>SUBTOTAL(3,_xlfn.SINGLE(tbl_file[RowId]))</f>
        <v>1</v>
      </c>
    </row>
    <row r="1143" spans="10:18">
      <c r="J1143" s="4">
        <v>898</v>
      </c>
      <c r="K1143" s="21" t="str">
        <f t="shared" si="26"/>
        <v>Forte-Building a Second Brain</v>
      </c>
      <c r="L1143" s="20" t="s">
        <v>175</v>
      </c>
      <c r="M1143" s="4"/>
      <c r="N1143" s="2" t="s">
        <v>2919</v>
      </c>
      <c r="O1143" s="2"/>
      <c r="P1143" s="4">
        <v>1</v>
      </c>
      <c r="Q1143" s="2" t="s">
        <v>2936</v>
      </c>
      <c r="R1143" s="11">
        <f>SUBTOTAL(3,_xlfn.SINGLE(tbl_file[RowId]))</f>
        <v>1</v>
      </c>
    </row>
    <row r="1144" spans="10:18">
      <c r="J1144" s="4">
        <v>899</v>
      </c>
      <c r="K1144" s="21" t="str">
        <f t="shared" si="26"/>
        <v>Forte-Building a Second Brain</v>
      </c>
      <c r="L1144" s="20" t="s">
        <v>175</v>
      </c>
      <c r="M1144" s="4"/>
      <c r="N1144" s="2" t="s">
        <v>2921</v>
      </c>
      <c r="O1144" s="2" t="s">
        <v>2922</v>
      </c>
      <c r="P1144" s="4">
        <v>1</v>
      </c>
      <c r="Q1144" s="2" t="s">
        <v>2937</v>
      </c>
      <c r="R1144" s="11">
        <f>SUBTOTAL(3,_xlfn.SINGLE(tbl_file[RowId]))</f>
        <v>1</v>
      </c>
    </row>
    <row r="1145" spans="10:18">
      <c r="J1145" s="4">
        <v>900</v>
      </c>
      <c r="K1145" s="21" t="str">
        <f t="shared" si="26"/>
        <v>Forte-Building a Second Brain</v>
      </c>
      <c r="L1145" s="20" t="s">
        <v>175</v>
      </c>
      <c r="M1145" s="4"/>
      <c r="N1145" s="2" t="s">
        <v>2924</v>
      </c>
      <c r="O1145" s="2" t="s">
        <v>2925</v>
      </c>
      <c r="P1145" s="4">
        <v>1</v>
      </c>
      <c r="Q1145" s="2" t="s">
        <v>2938</v>
      </c>
      <c r="R1145" s="11">
        <f>SUBTOTAL(3,_xlfn.SINGLE(tbl_file[RowId]))</f>
        <v>1</v>
      </c>
    </row>
    <row r="1146" spans="10:18">
      <c r="J1146" s="4">
        <v>901</v>
      </c>
      <c r="K1146" s="21" t="str">
        <f t="shared" si="26"/>
        <v>Forte-Building a Second Brain</v>
      </c>
      <c r="L1146" s="20" t="s">
        <v>175</v>
      </c>
      <c r="M1146" s="4"/>
      <c r="N1146" s="2" t="s">
        <v>2927</v>
      </c>
      <c r="O1146" s="2" t="s">
        <v>2928</v>
      </c>
      <c r="P1146" s="4">
        <v>1</v>
      </c>
      <c r="Q1146" s="2" t="s">
        <v>2939</v>
      </c>
      <c r="R1146" s="11">
        <f>SUBTOTAL(3,_xlfn.SINGLE(tbl_file[RowId]))</f>
        <v>1</v>
      </c>
    </row>
    <row r="1147" spans="10:18">
      <c r="J1147" s="4">
        <v>902</v>
      </c>
      <c r="K1147" s="21" t="str">
        <f t="shared" si="26"/>
        <v>Forte-Building a Second Brain</v>
      </c>
      <c r="L1147" s="20" t="s">
        <v>175</v>
      </c>
      <c r="M1147" s="4"/>
      <c r="N1147" s="2" t="s">
        <v>2930</v>
      </c>
      <c r="O1147" s="2" t="s">
        <v>2931</v>
      </c>
      <c r="P1147" s="4">
        <v>1</v>
      </c>
      <c r="Q1147" s="2" t="s">
        <v>2942</v>
      </c>
      <c r="R1147" s="11">
        <f>SUBTOTAL(3,_xlfn.SINGLE(tbl_file[RowId]))</f>
        <v>1</v>
      </c>
    </row>
    <row r="1148" spans="10:18">
      <c r="J1148" s="4">
        <v>903</v>
      </c>
      <c r="K1148" s="21" t="str">
        <f t="shared" si="26"/>
        <v>Forte-Building a Second Brain</v>
      </c>
      <c r="L1148" s="20" t="s">
        <v>175</v>
      </c>
      <c r="M1148" s="4"/>
      <c r="N1148" s="2" t="s">
        <v>2933</v>
      </c>
      <c r="O1148" s="2"/>
      <c r="P1148" s="4">
        <v>1</v>
      </c>
      <c r="Q1148" s="2" t="s">
        <v>2941</v>
      </c>
      <c r="R1148" s="11">
        <f>SUBTOTAL(3,_xlfn.SINGLE(tbl_file[RowId]))</f>
        <v>1</v>
      </c>
    </row>
    <row r="1149" spans="10:18">
      <c r="J1149" s="4">
        <v>890</v>
      </c>
      <c r="K1149" s="21" t="str">
        <f t="shared" ref="K1149:K1155" si="27">HYPERLINK("obsidian://open?vault=o2&amp;file=Forte-Building%20a%20Second%20Brain-1707061423967.md","Forte-Building a Second Brain-1707061423967")</f>
        <v>Forte-Building a Second Brain-1707061423967</v>
      </c>
      <c r="L1149" s="20" t="s">
        <v>175</v>
      </c>
      <c r="M1149" s="4"/>
      <c r="N1149" s="2" t="s">
        <v>2917</v>
      </c>
      <c r="O1149" s="2"/>
      <c r="P1149" s="4">
        <v>1</v>
      </c>
      <c r="Q1149" s="2" t="s">
        <v>2935</v>
      </c>
      <c r="R1149" s="11">
        <f>SUBTOTAL(3,_xlfn.SINGLE(tbl_file[RowId]))</f>
        <v>1</v>
      </c>
    </row>
    <row r="1150" spans="10:18">
      <c r="J1150" s="4">
        <v>891</v>
      </c>
      <c r="K1150" s="21" t="str">
        <f t="shared" si="27"/>
        <v>Forte-Building a Second Brain-1707061423967</v>
      </c>
      <c r="L1150" s="20" t="s">
        <v>175</v>
      </c>
      <c r="M1150" s="4"/>
      <c r="N1150" s="2" t="s">
        <v>2919</v>
      </c>
      <c r="O1150" s="2"/>
      <c r="P1150" s="4">
        <v>1</v>
      </c>
      <c r="Q1150" s="2" t="s">
        <v>2936</v>
      </c>
      <c r="R1150" s="11">
        <f>SUBTOTAL(3,_xlfn.SINGLE(tbl_file[RowId]))</f>
        <v>1</v>
      </c>
    </row>
    <row r="1151" spans="10:18">
      <c r="J1151" s="4">
        <v>892</v>
      </c>
      <c r="K1151" s="21" t="str">
        <f t="shared" si="27"/>
        <v>Forte-Building a Second Brain-1707061423967</v>
      </c>
      <c r="L1151" s="20" t="s">
        <v>175</v>
      </c>
      <c r="M1151" s="4"/>
      <c r="N1151" s="2" t="s">
        <v>2921</v>
      </c>
      <c r="O1151" s="2" t="s">
        <v>2922</v>
      </c>
      <c r="P1151" s="4">
        <v>1</v>
      </c>
      <c r="Q1151" s="2" t="s">
        <v>2937</v>
      </c>
      <c r="R1151" s="11">
        <f>SUBTOTAL(3,_xlfn.SINGLE(tbl_file[RowId]))</f>
        <v>1</v>
      </c>
    </row>
    <row r="1152" spans="10:18">
      <c r="J1152" s="4">
        <v>893</v>
      </c>
      <c r="K1152" s="21" t="str">
        <f t="shared" si="27"/>
        <v>Forte-Building a Second Brain-1707061423967</v>
      </c>
      <c r="L1152" s="20" t="s">
        <v>175</v>
      </c>
      <c r="M1152" s="4"/>
      <c r="N1152" s="2" t="s">
        <v>2924</v>
      </c>
      <c r="O1152" s="2" t="s">
        <v>2925</v>
      </c>
      <c r="P1152" s="4">
        <v>1</v>
      </c>
      <c r="Q1152" s="2" t="s">
        <v>2938</v>
      </c>
      <c r="R1152" s="11">
        <f>SUBTOTAL(3,_xlfn.SINGLE(tbl_file[RowId]))</f>
        <v>1</v>
      </c>
    </row>
    <row r="1153" spans="10:18">
      <c r="J1153" s="4">
        <v>894</v>
      </c>
      <c r="K1153" s="21" t="str">
        <f t="shared" si="27"/>
        <v>Forte-Building a Second Brain-1707061423967</v>
      </c>
      <c r="L1153" s="20" t="s">
        <v>175</v>
      </c>
      <c r="M1153" s="4"/>
      <c r="N1153" s="2" t="s">
        <v>2927</v>
      </c>
      <c r="O1153" s="2" t="s">
        <v>2928</v>
      </c>
      <c r="P1153" s="4">
        <v>1</v>
      </c>
      <c r="Q1153" s="2" t="s">
        <v>2939</v>
      </c>
      <c r="R1153" s="11">
        <f>SUBTOTAL(3,_xlfn.SINGLE(tbl_file[RowId]))</f>
        <v>1</v>
      </c>
    </row>
    <row r="1154" spans="10:18">
      <c r="J1154" s="4">
        <v>895</v>
      </c>
      <c r="K1154" s="21" t="str">
        <f t="shared" si="27"/>
        <v>Forte-Building a Second Brain-1707061423967</v>
      </c>
      <c r="L1154" s="20" t="s">
        <v>175</v>
      </c>
      <c r="M1154" s="4"/>
      <c r="N1154" s="2" t="s">
        <v>2930</v>
      </c>
      <c r="O1154" s="2" t="s">
        <v>2931</v>
      </c>
      <c r="P1154" s="4">
        <v>1</v>
      </c>
      <c r="Q1154" s="2" t="s">
        <v>2940</v>
      </c>
      <c r="R1154" s="11">
        <f>SUBTOTAL(3,_xlfn.SINGLE(tbl_file[RowId]))</f>
        <v>1</v>
      </c>
    </row>
    <row r="1155" spans="10:18">
      <c r="J1155" s="4">
        <v>896</v>
      </c>
      <c r="K1155" s="21" t="str">
        <f t="shared" si="27"/>
        <v>Forte-Building a Second Brain-1707061423967</v>
      </c>
      <c r="L1155" s="20" t="s">
        <v>175</v>
      </c>
      <c r="M1155" s="4"/>
      <c r="N1155" s="2" t="s">
        <v>2933</v>
      </c>
      <c r="O1155" s="2"/>
      <c r="P1155" s="4">
        <v>1</v>
      </c>
      <c r="Q1155" s="2" t="s">
        <v>2941</v>
      </c>
      <c r="R1155" s="11">
        <f>SUBTOTAL(3,_xlfn.SINGLE(tbl_file[RowId]))</f>
        <v>1</v>
      </c>
    </row>
    <row r="1156" spans="10:18">
      <c r="J1156" s="4">
        <v>1268</v>
      </c>
      <c r="K1156" s="21" t="str">
        <f>HYPERLINK("obsidian://open?vault=o2&amp;file=Franks%27s%20Buffallo%20Chicken%20Dip.md","Franks's Buffallo Chicken Dip")</f>
        <v>Franks's Buffallo Chicken Dip</v>
      </c>
      <c r="L1156" s="20" t="s">
        <v>175</v>
      </c>
      <c r="M1156" s="4"/>
      <c r="N1156" s="2" t="s">
        <v>50</v>
      </c>
      <c r="O1156" s="2"/>
      <c r="P1156" s="4">
        <v>1</v>
      </c>
      <c r="Q1156" s="2" t="s">
        <v>1612</v>
      </c>
      <c r="R1156" s="11">
        <f>SUBTOTAL(3,_xlfn.SINGLE(tbl_file[RowId]))</f>
        <v>1</v>
      </c>
    </row>
    <row r="1157" spans="10:18">
      <c r="J1157" s="4">
        <v>1269</v>
      </c>
      <c r="K1157" s="21" t="str">
        <f>HYPERLINK("obsidian://open?vault=o2&amp;file=Franks%27s%20Buffallo%20Chicken%20Dip.md","Franks's Buffallo Chicken Dip")</f>
        <v>Franks's Buffallo Chicken Dip</v>
      </c>
      <c r="L1157" s="20" t="s">
        <v>175</v>
      </c>
      <c r="M1157" s="4"/>
      <c r="N1157" s="2" t="s">
        <v>123</v>
      </c>
      <c r="O1157" s="2"/>
      <c r="P1157" s="4">
        <v>1</v>
      </c>
      <c r="Q1157" s="2" t="s">
        <v>1694</v>
      </c>
      <c r="R1157" s="11">
        <f>SUBTOTAL(3,_xlfn.SINGLE(tbl_file[RowId]))</f>
        <v>1</v>
      </c>
    </row>
    <row r="1158" spans="10:18">
      <c r="J1158" s="4">
        <v>1270</v>
      </c>
      <c r="K1158" s="21" t="str">
        <f>HYPERLINK("obsidian://open?vault=o2&amp;file=Franks%27s%20Buffallo%20Chicken%20Dip.md","Franks's Buffallo Chicken Dip")</f>
        <v>Franks's Buffallo Chicken Dip</v>
      </c>
      <c r="L1158" s="20" t="s">
        <v>175</v>
      </c>
      <c r="M1158" s="4"/>
      <c r="N1158" s="2" t="s">
        <v>2606</v>
      </c>
      <c r="O1158" s="2"/>
      <c r="P1158" s="4">
        <v>1</v>
      </c>
      <c r="Q1158" s="2" t="s">
        <v>1002</v>
      </c>
      <c r="R1158" s="11">
        <f>SUBTOTAL(3,_xlfn.SINGLE(tbl_file[RowId]))</f>
        <v>1</v>
      </c>
    </row>
    <row r="1159" spans="10:18">
      <c r="J1159" s="4">
        <v>23</v>
      </c>
      <c r="K1159" s="21" t="str">
        <f>HYPERLINK("obsidian://open?vault=o2&amp;file=Free%20DNS%20Servers.md","Free DNS Servers")</f>
        <v>Free DNS Servers</v>
      </c>
      <c r="L1159" s="20" t="s">
        <v>175</v>
      </c>
      <c r="M1159" s="4"/>
      <c r="N1159" s="2" t="s">
        <v>50</v>
      </c>
      <c r="O1159" s="2"/>
      <c r="P1159" s="4">
        <v>1</v>
      </c>
      <c r="Q1159" s="2" t="s">
        <v>1619</v>
      </c>
      <c r="R1159" s="11">
        <f>SUBTOTAL(3,_xlfn.SINGLE(tbl_file[RowId]))</f>
        <v>1</v>
      </c>
    </row>
    <row r="1160" spans="10:18">
      <c r="J1160" s="4">
        <v>24</v>
      </c>
      <c r="K1160" s="21" t="str">
        <f>HYPERLINK("obsidian://open?vault=o2&amp;file=Free%20DNS%20Servers.md","Free DNS Servers")</f>
        <v>Free DNS Servers</v>
      </c>
      <c r="L1160" s="20" t="s">
        <v>175</v>
      </c>
      <c r="M1160" s="4"/>
      <c r="N1160" s="2" t="s">
        <v>127</v>
      </c>
      <c r="O1160" s="2"/>
      <c r="P1160" s="4">
        <v>1</v>
      </c>
      <c r="Q1160" s="2" t="s">
        <v>1960</v>
      </c>
      <c r="R1160" s="11">
        <f>SUBTOTAL(3,_xlfn.SINGLE(tbl_file[RowId]))</f>
        <v>1</v>
      </c>
    </row>
    <row r="1161" spans="10:18">
      <c r="J1161" s="4">
        <v>25</v>
      </c>
      <c r="K1161" s="21" t="str">
        <f>HYPERLINK("obsidian://open?vault=o2&amp;file=Free%20DNS%20Servers.md","Free DNS Servers")</f>
        <v>Free DNS Servers</v>
      </c>
      <c r="L1161" s="20" t="s">
        <v>175</v>
      </c>
      <c r="M1161" s="4"/>
      <c r="N1161" s="2" t="s">
        <v>2606</v>
      </c>
      <c r="O1161" s="2"/>
      <c r="P1161" s="4">
        <v>3</v>
      </c>
      <c r="Q1161" s="2" t="s">
        <v>2611</v>
      </c>
      <c r="R1161" s="11">
        <f>SUBTOTAL(3,_xlfn.SINGLE(tbl_file[RowId]))</f>
        <v>1</v>
      </c>
    </row>
    <row r="1162" spans="10:18">
      <c r="J1162" s="4">
        <v>26</v>
      </c>
      <c r="K1162" s="21" t="str">
        <f>HYPERLINK("obsidian://open?vault=o2&amp;file=Free%20DNS%20Servers.md","Free DNS Servers")</f>
        <v>Free DNS Servers</v>
      </c>
      <c r="L1162" s="20" t="s">
        <v>175</v>
      </c>
      <c r="M1162" s="4"/>
      <c r="N1162" s="2" t="s">
        <v>133</v>
      </c>
      <c r="O1162" s="2"/>
      <c r="P1162" s="4">
        <v>1</v>
      </c>
      <c r="Q1162" s="2" t="s">
        <v>2111</v>
      </c>
      <c r="R1162" s="11">
        <f>SUBTOTAL(3,_xlfn.SINGLE(tbl_file[RowId]))</f>
        <v>1</v>
      </c>
    </row>
    <row r="1163" spans="10:18">
      <c r="J1163" s="4">
        <v>618</v>
      </c>
      <c r="K1163" s="21" t="str">
        <f t="shared" ref="K1163:K1174" si="28">HYPERLINK("obsidian://open?vault=o2&amp;file=Free%20Lightroom%20Tutorial%20%20Adobe%20Lightroom%20Essentials%20Training%20Course.md","Free Lightroom Tutorial  Adobe Lightroom Essentials Training Course")</f>
        <v>Free Lightroom Tutorial  Adobe Lightroom Essentials Training Course</v>
      </c>
      <c r="L1163" s="20" t="s">
        <v>175</v>
      </c>
      <c r="M1163" s="4"/>
      <c r="N1163" s="2" t="s">
        <v>11</v>
      </c>
      <c r="O1163" s="2"/>
      <c r="P1163" s="4">
        <v>1</v>
      </c>
      <c r="Q1163" s="2" t="s">
        <v>200</v>
      </c>
      <c r="R1163" s="11">
        <f>SUBTOTAL(3,_xlfn.SINGLE(tbl_file[RowId]))</f>
        <v>1</v>
      </c>
    </row>
    <row r="1164" spans="10:18">
      <c r="J1164" s="4">
        <v>619</v>
      </c>
      <c r="K1164" s="21" t="str">
        <f t="shared" si="28"/>
        <v>Free Lightroom Tutorial  Adobe Lightroom Essentials Training Course</v>
      </c>
      <c r="L1164" s="20" t="s">
        <v>175</v>
      </c>
      <c r="M1164" s="4"/>
      <c r="N1164" s="2" t="s">
        <v>13</v>
      </c>
      <c r="O1164" s="2"/>
      <c r="P1164" s="4">
        <v>1</v>
      </c>
      <c r="Q1164" s="2" t="s">
        <v>284</v>
      </c>
      <c r="R1164" s="11">
        <f>SUBTOTAL(3,_xlfn.SINGLE(tbl_file[RowId]))</f>
        <v>1</v>
      </c>
    </row>
    <row r="1165" spans="10:18">
      <c r="J1165" s="4">
        <v>620</v>
      </c>
      <c r="K1165" s="21" t="str">
        <f t="shared" si="28"/>
        <v>Free Lightroom Tutorial  Adobe Lightroom Essentials Training Course</v>
      </c>
      <c r="L1165" s="20" t="s">
        <v>175</v>
      </c>
      <c r="M1165" s="4"/>
      <c r="N1165" s="2" t="s">
        <v>16</v>
      </c>
      <c r="O1165" s="2"/>
      <c r="P1165" s="4">
        <v>1</v>
      </c>
      <c r="Q1165" s="2" t="s">
        <v>284</v>
      </c>
      <c r="R1165" s="11">
        <f>SUBTOTAL(3,_xlfn.SINGLE(tbl_file[RowId]))</f>
        <v>1</v>
      </c>
    </row>
    <row r="1166" spans="10:18">
      <c r="J1166" s="4">
        <v>621</v>
      </c>
      <c r="K1166" s="21" t="str">
        <f t="shared" si="28"/>
        <v>Free Lightroom Tutorial  Adobe Lightroom Essentials Training Course</v>
      </c>
      <c r="L1166" s="20" t="s">
        <v>175</v>
      </c>
      <c r="M1166" s="4"/>
      <c r="N1166" s="2" t="s">
        <v>37</v>
      </c>
      <c r="O1166" s="2"/>
      <c r="P1166" s="4">
        <v>1</v>
      </c>
      <c r="Q1166" s="2" t="s">
        <v>561</v>
      </c>
      <c r="R1166" s="11">
        <f>SUBTOTAL(3,_xlfn.SINGLE(tbl_file[RowId]))</f>
        <v>1</v>
      </c>
    </row>
    <row r="1167" spans="10:18">
      <c r="J1167" s="4">
        <v>622</v>
      </c>
      <c r="K1167" s="21" t="str">
        <f t="shared" si="28"/>
        <v>Free Lightroom Tutorial  Adobe Lightroom Essentials Training Course</v>
      </c>
      <c r="L1167" s="20" t="s">
        <v>175</v>
      </c>
      <c r="M1167" s="4"/>
      <c r="N1167" s="2" t="s">
        <v>45</v>
      </c>
      <c r="O1167" s="2"/>
      <c r="P1167" s="4">
        <v>1</v>
      </c>
      <c r="Q1167" s="2" t="s">
        <v>622</v>
      </c>
      <c r="R1167" s="11">
        <f>SUBTOTAL(3,_xlfn.SINGLE(tbl_file[RowId]))</f>
        <v>1</v>
      </c>
    </row>
    <row r="1168" spans="10:18">
      <c r="J1168" s="4">
        <v>623</v>
      </c>
      <c r="K1168" s="21" t="str">
        <f t="shared" si="28"/>
        <v>Free Lightroom Tutorial  Adobe Lightroom Essentials Training Course</v>
      </c>
      <c r="L1168" s="20" t="s">
        <v>175</v>
      </c>
      <c r="M1168" s="4"/>
      <c r="N1168" s="2" t="s">
        <v>48</v>
      </c>
      <c r="O1168" s="2"/>
      <c r="P1168" s="4">
        <v>17</v>
      </c>
      <c r="Q1168" s="2" t="s">
        <v>2732</v>
      </c>
      <c r="R1168" s="11">
        <f>SUBTOTAL(3,_xlfn.SINGLE(tbl_file[RowId]))</f>
        <v>1</v>
      </c>
    </row>
    <row r="1169" spans="10:18">
      <c r="J1169" s="4">
        <v>624</v>
      </c>
      <c r="K1169" s="21" t="str">
        <f t="shared" si="28"/>
        <v>Free Lightroom Tutorial  Adobe Lightroom Essentials Training Course</v>
      </c>
      <c r="L1169" s="20" t="s">
        <v>175</v>
      </c>
      <c r="M1169" s="4"/>
      <c r="N1169" s="2" t="s">
        <v>119</v>
      </c>
      <c r="O1169" s="2"/>
      <c r="P1169" s="4">
        <v>1</v>
      </c>
      <c r="Q1169" s="2" t="s">
        <v>2733</v>
      </c>
      <c r="R1169" s="11">
        <f>SUBTOTAL(3,_xlfn.SINGLE(tbl_file[RowId]))</f>
        <v>1</v>
      </c>
    </row>
    <row r="1170" spans="10:18">
      <c r="J1170" s="4">
        <v>625</v>
      </c>
      <c r="K1170" s="21" t="str">
        <f t="shared" si="28"/>
        <v>Free Lightroom Tutorial  Adobe Lightroom Essentials Training Course</v>
      </c>
      <c r="L1170" s="20" t="s">
        <v>175</v>
      </c>
      <c r="M1170" s="4"/>
      <c r="N1170" s="2" t="s">
        <v>126</v>
      </c>
      <c r="O1170" s="2"/>
      <c r="P1170" s="4">
        <v>1</v>
      </c>
      <c r="Q1170" s="2" t="s">
        <v>2734</v>
      </c>
      <c r="R1170" s="11">
        <f>SUBTOTAL(3,_xlfn.SINGLE(tbl_file[RowId]))</f>
        <v>1</v>
      </c>
    </row>
    <row r="1171" spans="10:18">
      <c r="J1171" s="4">
        <v>626</v>
      </c>
      <c r="K1171" s="21" t="str">
        <f t="shared" si="28"/>
        <v>Free Lightroom Tutorial  Adobe Lightroom Essentials Training Course</v>
      </c>
      <c r="L1171" s="20" t="s">
        <v>175</v>
      </c>
      <c r="M1171" s="4"/>
      <c r="N1171" s="2" t="s">
        <v>131</v>
      </c>
      <c r="O1171" s="2"/>
      <c r="P1171" s="4">
        <v>1</v>
      </c>
      <c r="Q1171" s="2" t="s">
        <v>2015</v>
      </c>
      <c r="R1171" s="11">
        <f>SUBTOTAL(3,_xlfn.SINGLE(tbl_file[RowId]))</f>
        <v>1</v>
      </c>
    </row>
    <row r="1172" spans="10:18">
      <c r="J1172" s="4">
        <v>627</v>
      </c>
      <c r="K1172" s="21" t="str">
        <f t="shared" si="28"/>
        <v>Free Lightroom Tutorial  Adobe Lightroom Essentials Training Course</v>
      </c>
      <c r="L1172" s="20" t="s">
        <v>175</v>
      </c>
      <c r="M1172" s="4"/>
      <c r="N1172" s="2" t="s">
        <v>132</v>
      </c>
      <c r="O1172" s="2"/>
      <c r="P1172" s="4">
        <v>1</v>
      </c>
      <c r="Q1172" s="2" t="s">
        <v>200</v>
      </c>
      <c r="R1172" s="11">
        <f>SUBTOTAL(3,_xlfn.SINGLE(tbl_file[RowId]))</f>
        <v>1</v>
      </c>
    </row>
    <row r="1173" spans="10:18">
      <c r="J1173" s="4">
        <v>628</v>
      </c>
      <c r="K1173" s="21" t="str">
        <f t="shared" si="28"/>
        <v>Free Lightroom Tutorial  Adobe Lightroom Essentials Training Course</v>
      </c>
      <c r="L1173" s="20" t="s">
        <v>175</v>
      </c>
      <c r="M1173" s="4"/>
      <c r="N1173" s="2" t="s">
        <v>137</v>
      </c>
      <c r="O1173" s="2"/>
      <c r="P1173" s="4">
        <v>1</v>
      </c>
      <c r="Q1173" s="2" t="s">
        <v>2245</v>
      </c>
      <c r="R1173" s="11">
        <f>SUBTOTAL(3,_xlfn.SINGLE(tbl_file[RowId]))</f>
        <v>1</v>
      </c>
    </row>
    <row r="1174" spans="10:18">
      <c r="J1174" s="4">
        <v>629</v>
      </c>
      <c r="K1174" s="21" t="str">
        <f t="shared" si="28"/>
        <v>Free Lightroom Tutorial  Adobe Lightroom Essentials Training Course</v>
      </c>
      <c r="L1174" s="20" t="s">
        <v>175</v>
      </c>
      <c r="M1174" s="4" t="s">
        <v>2626</v>
      </c>
      <c r="N1174" s="2" t="s">
        <v>2606</v>
      </c>
      <c r="O1174" s="2"/>
      <c r="P1174" s="4">
        <v>4</v>
      </c>
      <c r="Q1174" s="2" t="s">
        <v>2735</v>
      </c>
      <c r="R1174" s="11">
        <f>SUBTOTAL(3,_xlfn.SINGLE(tbl_file[RowId]))</f>
        <v>1</v>
      </c>
    </row>
    <row r="1175" spans="10:18">
      <c r="J1175" s="4">
        <v>2456</v>
      </c>
      <c r="K1175" s="21" t="str">
        <f>HYPERLINK("obsidian://open?vault=o2&amp;file=General%20Input%20Template.md","General Input Template")</f>
        <v>General Input Template</v>
      </c>
      <c r="L1175" s="20" t="s">
        <v>175</v>
      </c>
      <c r="M1175" s="4"/>
      <c r="N1175" s="14" t="s">
        <v>20</v>
      </c>
      <c r="O1175" s="14" t="s">
        <v>3186</v>
      </c>
      <c r="P1175" s="4">
        <v>1</v>
      </c>
      <c r="Q1175" s="2" t="s">
        <v>418</v>
      </c>
      <c r="R1175" s="11">
        <f>SUBTOTAL(3,_xlfn.SINGLE(tbl_file[RowId]))</f>
        <v>1</v>
      </c>
    </row>
    <row r="1176" spans="10:18">
      <c r="J1176" s="4">
        <v>2417</v>
      </c>
      <c r="K1176" s="21" t="str">
        <f>HYPERLINK("obsidian://open?vault=o2&amp;file=gEventTest.md","gEventTest")</f>
        <v>gEventTest</v>
      </c>
      <c r="L1176" s="20" t="s">
        <v>175</v>
      </c>
      <c r="M1176" s="4"/>
      <c r="N1176" s="2" t="s">
        <v>35</v>
      </c>
      <c r="O1176" s="2"/>
      <c r="P1176" s="4">
        <v>1</v>
      </c>
      <c r="Q1176" s="2" t="s">
        <v>3026</v>
      </c>
      <c r="R1176" s="11">
        <f>SUBTOTAL(3,_xlfn.SINGLE(tbl_file[RowId]))</f>
        <v>1</v>
      </c>
    </row>
    <row r="1177" spans="10:18">
      <c r="J1177" s="4">
        <v>2418</v>
      </c>
      <c r="K1177" s="21" t="str">
        <f>HYPERLINK("obsidian://open?vault=o2&amp;file=gEventTest.md","gEventTest")</f>
        <v>gEventTest</v>
      </c>
      <c r="L1177" s="20" t="s">
        <v>175</v>
      </c>
      <c r="M1177" s="4"/>
      <c r="N1177" s="2" t="s">
        <v>2606</v>
      </c>
      <c r="O1177" s="2"/>
      <c r="P1177" s="4">
        <v>1</v>
      </c>
      <c r="Q1177" s="2" t="s">
        <v>2502</v>
      </c>
      <c r="R1177" s="11">
        <f>SUBTOTAL(3,_xlfn.SINGLE(tbl_file[RowId]))</f>
        <v>1</v>
      </c>
    </row>
    <row r="1178" spans="10:18">
      <c r="J1178" s="4">
        <v>2419</v>
      </c>
      <c r="K1178" s="21" t="str">
        <f>HYPERLINK("obsidian://open?vault=o2&amp;file=gEventTest.md","gEventTest")</f>
        <v>gEventTest</v>
      </c>
      <c r="L1178" s="20" t="s">
        <v>175</v>
      </c>
      <c r="M1178" s="4"/>
      <c r="N1178" s="2" t="s">
        <v>133</v>
      </c>
      <c r="O1178" s="2"/>
      <c r="P1178" s="4">
        <v>1</v>
      </c>
      <c r="Q1178" s="2" t="s">
        <v>2109</v>
      </c>
      <c r="R1178" s="11">
        <f>SUBTOTAL(3,_xlfn.SINGLE(tbl_file[RowId]))</f>
        <v>1</v>
      </c>
    </row>
    <row r="1179" spans="10:18">
      <c r="J1179" s="4">
        <v>2420</v>
      </c>
      <c r="K1179" s="21" t="str">
        <f>HYPERLINK("obsidian://open?vault=o2&amp;file=gEventTest.md","gEventTest")</f>
        <v>gEventTest</v>
      </c>
      <c r="L1179" s="20" t="s">
        <v>175</v>
      </c>
      <c r="M1179" s="4" t="s">
        <v>2626</v>
      </c>
      <c r="N1179" s="2" t="s">
        <v>3028</v>
      </c>
      <c r="O1179" s="2"/>
      <c r="P1179" s="4">
        <v>1</v>
      </c>
      <c r="Q1179" s="2" t="s">
        <v>2253</v>
      </c>
      <c r="R1179" s="11">
        <f>SUBTOTAL(3,_xlfn.SINGLE(tbl_file[RowId]))</f>
        <v>1</v>
      </c>
    </row>
    <row r="1180" spans="10:18">
      <c r="J1180" s="4">
        <v>1958</v>
      </c>
      <c r="K1180" s="21" t="str">
        <f>HYPERLINK("obsidian://open?vault=o2&amp;file=Give%20people%20value%20and%20time%20by%20consuming%20content%20for%20them.md","Give people value and time by consuming content for them")</f>
        <v>Give people value and time by consuming content for them</v>
      </c>
      <c r="L1180" s="20" t="s">
        <v>175</v>
      </c>
      <c r="M1180" s="4"/>
      <c r="N1180" s="2" t="s">
        <v>50</v>
      </c>
      <c r="O1180" s="2"/>
      <c r="P1180" s="4">
        <v>1</v>
      </c>
      <c r="Q1180" s="2" t="s">
        <v>1484</v>
      </c>
      <c r="R1180" s="11">
        <f>SUBTOTAL(3,_xlfn.SINGLE(tbl_file[RowId]))</f>
        <v>1</v>
      </c>
    </row>
    <row r="1181" spans="10:18">
      <c r="J1181" s="4">
        <v>1959</v>
      </c>
      <c r="K1181" s="21" t="str">
        <f>HYPERLINK("obsidian://open?vault=o2&amp;file=Glossary.md","Glossary")</f>
        <v>Glossary</v>
      </c>
      <c r="L1181" s="20" t="s">
        <v>175</v>
      </c>
      <c r="M1181" s="4"/>
      <c r="N1181" s="2" t="s">
        <v>50</v>
      </c>
      <c r="O1181" s="2"/>
      <c r="P1181" s="4">
        <v>1</v>
      </c>
      <c r="Q1181" s="2" t="s">
        <v>1486</v>
      </c>
      <c r="R1181" s="11">
        <f>SUBTOTAL(3,_xlfn.SINGLE(tbl_file[RowId]))</f>
        <v>1</v>
      </c>
    </row>
    <row r="1182" spans="10:18">
      <c r="J1182" s="4">
        <v>1960</v>
      </c>
      <c r="K1182" s="21" t="str">
        <f>HYPERLINK("obsidian://open?vault=o2&amp;file=Glossary.md","Glossary")</f>
        <v>Glossary</v>
      </c>
      <c r="L1182" s="20" t="s">
        <v>175</v>
      </c>
      <c r="M1182" s="4"/>
      <c r="N1182" s="2" t="s">
        <v>127</v>
      </c>
      <c r="O1182" s="2"/>
      <c r="P1182" s="4">
        <v>1</v>
      </c>
      <c r="Q1182" s="2" t="s">
        <v>1960</v>
      </c>
      <c r="R1182" s="11">
        <f>SUBTOTAL(3,_xlfn.SINGLE(tbl_file[RowId]))</f>
        <v>1</v>
      </c>
    </row>
    <row r="1183" spans="10:18">
      <c r="J1183" s="4">
        <v>1961</v>
      </c>
      <c r="K1183" s="21" t="str">
        <f>HYPERLINK("obsidian://open?vault=o2&amp;file=Glossary.md","Glossary")</f>
        <v>Glossary</v>
      </c>
      <c r="L1183" s="20" t="s">
        <v>175</v>
      </c>
      <c r="M1183" s="4"/>
      <c r="N1183" s="2" t="s">
        <v>2606</v>
      </c>
      <c r="O1183" s="2"/>
      <c r="P1183" s="4">
        <v>3</v>
      </c>
      <c r="Q1183" s="2" t="s">
        <v>3094</v>
      </c>
      <c r="R1183" s="11">
        <f>SUBTOTAL(3,_xlfn.SINGLE(tbl_file[RowId]))</f>
        <v>1</v>
      </c>
    </row>
    <row r="1184" spans="10:18">
      <c r="J1184" s="4">
        <v>1962</v>
      </c>
      <c r="K1184" s="21" t="str">
        <f>HYPERLINK("obsidian://open?vault=o2&amp;file=Glossary.md","Glossary")</f>
        <v>Glossary</v>
      </c>
      <c r="L1184" s="20" t="s">
        <v>175</v>
      </c>
      <c r="M1184" s="4"/>
      <c r="N1184" s="2" t="s">
        <v>133</v>
      </c>
      <c r="O1184" s="2"/>
      <c r="P1184" s="4">
        <v>1</v>
      </c>
      <c r="Q1184" s="2" t="s">
        <v>2111</v>
      </c>
      <c r="R1184" s="11">
        <f>SUBTOTAL(3,_xlfn.SINGLE(tbl_file[RowId]))</f>
        <v>1</v>
      </c>
    </row>
    <row r="1185" spans="10:18">
      <c r="J1185" s="4">
        <v>1963</v>
      </c>
      <c r="K1185" s="21" t="str">
        <f>HYPERLINK("obsidian://open?vault=o2&amp;file=Google%20Dorks%202025.md","Google Dorks 2025")</f>
        <v>Google Dorks 2025</v>
      </c>
      <c r="L1185" s="20" t="s">
        <v>175</v>
      </c>
      <c r="M1185" s="4"/>
      <c r="N1185" s="2" t="s">
        <v>133</v>
      </c>
      <c r="O1185" s="2"/>
      <c r="P1185" s="4">
        <v>1</v>
      </c>
      <c r="Q1185" s="2" t="s">
        <v>2622</v>
      </c>
      <c r="R1185" s="11">
        <f>SUBTOTAL(3,_xlfn.SINGLE(tbl_file[RowId]))</f>
        <v>1</v>
      </c>
    </row>
    <row r="1186" spans="10:18">
      <c r="J1186" s="4">
        <v>1964</v>
      </c>
      <c r="K1186" s="21" t="str">
        <f>HYPERLINK("obsidian://open?vault=o2&amp;file=Google%20Dorks%202025.md","Google Dorks 2025")</f>
        <v>Google Dorks 2025</v>
      </c>
      <c r="L1186" s="20" t="s">
        <v>175</v>
      </c>
      <c r="M1186" s="4" t="s">
        <v>2626</v>
      </c>
      <c r="N1186" s="2" t="s">
        <v>2606</v>
      </c>
      <c r="O1186" s="2"/>
      <c r="P1186" s="4">
        <v>6</v>
      </c>
      <c r="Q1186" s="2" t="s">
        <v>3095</v>
      </c>
      <c r="R1186" s="11">
        <f>SUBTOTAL(3,_xlfn.SINGLE(tbl_file[RowId]))</f>
        <v>1</v>
      </c>
    </row>
    <row r="1187" spans="10:18">
      <c r="J1187" s="4">
        <v>1965</v>
      </c>
      <c r="K1187" s="21" t="str">
        <f>HYPERLINK("obsidian://open?vault=o2&amp;file=Haircut--Ring%20Lardner%20%281885-1933%29.md","Haircut--Ring Lardner (1885-1933)")</f>
        <v>Haircut--Ring Lardner (1885-1933)</v>
      </c>
      <c r="L1187" s="20" t="s">
        <v>175</v>
      </c>
      <c r="M1187" s="4"/>
      <c r="N1187" s="2" t="s">
        <v>33</v>
      </c>
      <c r="O1187" s="2"/>
      <c r="P1187" s="4">
        <v>1</v>
      </c>
      <c r="Q1187" s="2" t="s">
        <v>454</v>
      </c>
      <c r="R1187" s="11">
        <f>SUBTOTAL(3,_xlfn.SINGLE(tbl_file[RowId]))</f>
        <v>1</v>
      </c>
    </row>
    <row r="1188" spans="10:18">
      <c r="J1188" s="4">
        <v>1966</v>
      </c>
      <c r="K1188" s="21" t="str">
        <f>HYPERLINK("obsidian://open?vault=o2&amp;file=Haircut--Ring%20Lardner%20%281885-1933%29.md","Haircut--Ring Lardner (1885-1933)")</f>
        <v>Haircut--Ring Lardner (1885-1933)</v>
      </c>
      <c r="L1188" s="20" t="s">
        <v>175</v>
      </c>
      <c r="M1188" s="4"/>
      <c r="N1188" s="2" t="s">
        <v>127</v>
      </c>
      <c r="O1188" s="2"/>
      <c r="P1188" s="4">
        <v>1</v>
      </c>
      <c r="Q1188" s="2" t="s">
        <v>1970</v>
      </c>
      <c r="R1188" s="11">
        <f>SUBTOTAL(3,_xlfn.SINGLE(tbl_file[RowId]))</f>
        <v>1</v>
      </c>
    </row>
    <row r="1189" spans="10:18">
      <c r="J1189" s="4">
        <v>1967</v>
      </c>
      <c r="K1189" s="21" t="str">
        <f>HYPERLINK("obsidian://open?vault=o2&amp;file=Haircut--Ring%20Lardner%20%281885-1933%29.md","Haircut--Ring Lardner (1885-1933)")</f>
        <v>Haircut--Ring Lardner (1885-1933)</v>
      </c>
      <c r="L1189" s="20" t="s">
        <v>175</v>
      </c>
      <c r="M1189" s="4"/>
      <c r="N1189" s="2" t="s">
        <v>2606</v>
      </c>
      <c r="O1189" s="2"/>
      <c r="P1189" s="4">
        <v>1</v>
      </c>
      <c r="Q1189" s="2" t="s">
        <v>2374</v>
      </c>
      <c r="R1189" s="11">
        <f>SUBTOTAL(3,_xlfn.SINGLE(tbl_file[RowId]))</f>
        <v>1</v>
      </c>
    </row>
    <row r="1190" spans="10:18">
      <c r="J1190" s="4">
        <v>1968</v>
      </c>
      <c r="K1190" s="21" t="str">
        <f>HYPERLINK("obsidian://open?vault=o2&amp;file=Haircut--Ring%20Lardner%20%281885-1933%29.md","Haircut--Ring Lardner (1885-1933)")</f>
        <v>Haircut--Ring Lardner (1885-1933)</v>
      </c>
      <c r="L1190" s="20" t="s">
        <v>175</v>
      </c>
      <c r="M1190" s="4"/>
      <c r="N1190" s="2" t="s">
        <v>132</v>
      </c>
      <c r="O1190" s="2"/>
      <c r="P1190" s="4">
        <v>1</v>
      </c>
      <c r="Q1190" s="2" t="s">
        <v>2050</v>
      </c>
      <c r="R1190" s="11">
        <f>SUBTOTAL(3,_xlfn.SINGLE(tbl_file[RowId]))</f>
        <v>1</v>
      </c>
    </row>
    <row r="1191" spans="10:18">
      <c r="J1191" s="4">
        <v>1969</v>
      </c>
      <c r="K1191" s="21" t="str">
        <f>HYPERLINK("obsidian://open?vault=o2&amp;file=Haircut--Ring%20Lardner%20%281885-1933%29.md","Haircut--Ring Lardner (1885-1933)")</f>
        <v>Haircut--Ring Lardner (1885-1933)</v>
      </c>
      <c r="L1191" s="20" t="s">
        <v>175</v>
      </c>
      <c r="M1191" s="4"/>
      <c r="N1191" s="2" t="s">
        <v>137</v>
      </c>
      <c r="O1191" s="2"/>
      <c r="P1191" s="4">
        <v>1</v>
      </c>
      <c r="Q1191" s="2" t="s">
        <v>2193</v>
      </c>
      <c r="R1191" s="11">
        <f>SUBTOTAL(3,_xlfn.SINGLE(tbl_file[RowId]))</f>
        <v>1</v>
      </c>
    </row>
    <row r="1192" spans="10:18">
      <c r="J1192" s="4">
        <v>904</v>
      </c>
      <c r="K1192" s="21" t="str">
        <f t="shared" ref="K1192:K1198" si="29">HYPERLINK("obsidian://open?vault=o2&amp;file=Hardin-Essential%20Poker%20Math%2C%20Expanded%20Edition.md","Hardin-Essential Poker Math, Expanded Edition")</f>
        <v>Hardin-Essential Poker Math, Expanded Edition</v>
      </c>
      <c r="L1192" s="20" t="s">
        <v>175</v>
      </c>
      <c r="M1192" s="4"/>
      <c r="N1192" s="2" t="s">
        <v>2917</v>
      </c>
      <c r="O1192" s="2"/>
      <c r="P1192" s="4">
        <v>1</v>
      </c>
      <c r="Q1192" s="2" t="s">
        <v>2943</v>
      </c>
      <c r="R1192" s="11">
        <f>SUBTOTAL(3,_xlfn.SINGLE(tbl_file[RowId]))</f>
        <v>1</v>
      </c>
    </row>
    <row r="1193" spans="10:18">
      <c r="J1193" s="4">
        <v>905</v>
      </c>
      <c r="K1193" s="21" t="str">
        <f t="shared" si="29"/>
        <v>Hardin-Essential Poker Math, Expanded Edition</v>
      </c>
      <c r="L1193" s="20" t="s">
        <v>175</v>
      </c>
      <c r="M1193" s="4"/>
      <c r="N1193" s="2" t="s">
        <v>2919</v>
      </c>
      <c r="O1193" s="2"/>
      <c r="P1193" s="4">
        <v>1</v>
      </c>
      <c r="Q1193" s="2" t="s">
        <v>2944</v>
      </c>
      <c r="R1193" s="11">
        <f>SUBTOTAL(3,_xlfn.SINGLE(tbl_file[RowId]))</f>
        <v>1</v>
      </c>
    </row>
    <row r="1194" spans="10:18">
      <c r="J1194" s="4">
        <v>906</v>
      </c>
      <c r="K1194" s="21" t="str">
        <f t="shared" si="29"/>
        <v>Hardin-Essential Poker Math, Expanded Edition</v>
      </c>
      <c r="L1194" s="20" t="s">
        <v>175</v>
      </c>
      <c r="M1194" s="4"/>
      <c r="N1194" s="2" t="s">
        <v>2921</v>
      </c>
      <c r="O1194" s="2" t="s">
        <v>2922</v>
      </c>
      <c r="P1194" s="4">
        <v>1</v>
      </c>
      <c r="Q1194" s="2" t="s">
        <v>2945</v>
      </c>
      <c r="R1194" s="11">
        <f>SUBTOTAL(3,_xlfn.SINGLE(tbl_file[RowId]))</f>
        <v>1</v>
      </c>
    </row>
    <row r="1195" spans="10:18">
      <c r="J1195" s="4">
        <v>907</v>
      </c>
      <c r="K1195" s="21" t="str">
        <f t="shared" si="29"/>
        <v>Hardin-Essential Poker Math, Expanded Edition</v>
      </c>
      <c r="L1195" s="20" t="s">
        <v>175</v>
      </c>
      <c r="M1195" s="4"/>
      <c r="N1195" s="2" t="s">
        <v>2924</v>
      </c>
      <c r="O1195" s="2" t="s">
        <v>2925</v>
      </c>
      <c r="P1195" s="4">
        <v>1</v>
      </c>
      <c r="Q1195" s="2" t="s">
        <v>2946</v>
      </c>
      <c r="R1195" s="11">
        <f>SUBTOTAL(3,_xlfn.SINGLE(tbl_file[RowId]))</f>
        <v>1</v>
      </c>
    </row>
    <row r="1196" spans="10:18">
      <c r="J1196" s="4">
        <v>908</v>
      </c>
      <c r="K1196" s="21" t="str">
        <f t="shared" si="29"/>
        <v>Hardin-Essential Poker Math, Expanded Edition</v>
      </c>
      <c r="L1196" s="20" t="s">
        <v>175</v>
      </c>
      <c r="M1196" s="4"/>
      <c r="N1196" s="2" t="s">
        <v>2927</v>
      </c>
      <c r="O1196" s="2" t="s">
        <v>2928</v>
      </c>
      <c r="P1196" s="4">
        <v>1</v>
      </c>
      <c r="Q1196" s="2" t="s">
        <v>2947</v>
      </c>
      <c r="R1196" s="11">
        <f>SUBTOTAL(3,_xlfn.SINGLE(tbl_file[RowId]))</f>
        <v>1</v>
      </c>
    </row>
    <row r="1197" spans="10:18">
      <c r="J1197" s="4">
        <v>909</v>
      </c>
      <c r="K1197" s="21" t="str">
        <f t="shared" si="29"/>
        <v>Hardin-Essential Poker Math, Expanded Edition</v>
      </c>
      <c r="L1197" s="20" t="s">
        <v>175</v>
      </c>
      <c r="M1197" s="4"/>
      <c r="N1197" s="2" t="s">
        <v>2930</v>
      </c>
      <c r="O1197" s="2" t="s">
        <v>2931</v>
      </c>
      <c r="P1197" s="4">
        <v>1</v>
      </c>
      <c r="Q1197" s="2" t="s">
        <v>2948</v>
      </c>
      <c r="R1197" s="11">
        <f>SUBTOTAL(3,_xlfn.SINGLE(tbl_file[RowId]))</f>
        <v>1</v>
      </c>
    </row>
    <row r="1198" spans="10:18">
      <c r="J1198" s="4">
        <v>910</v>
      </c>
      <c r="K1198" s="21" t="str">
        <f t="shared" si="29"/>
        <v>Hardin-Essential Poker Math, Expanded Edition</v>
      </c>
      <c r="L1198" s="20" t="s">
        <v>175</v>
      </c>
      <c r="M1198" s="4"/>
      <c r="N1198" s="2" t="s">
        <v>2933</v>
      </c>
      <c r="O1198" s="2"/>
      <c r="P1198" s="4">
        <v>1</v>
      </c>
      <c r="Q1198" s="2" t="s">
        <v>2949</v>
      </c>
      <c r="R1198" s="11">
        <f>SUBTOTAL(3,_xlfn.SINGLE(tbl_file[RowId]))</f>
        <v>1</v>
      </c>
    </row>
    <row r="1199" spans="10:18">
      <c r="J1199" s="4">
        <v>1315</v>
      </c>
      <c r="K1199" s="21" t="str">
        <f>HYPERLINK("obsidian://open?vault=o2&amp;file=Having%20Deeper%20Conversations.md","Having Deeper Conversations")</f>
        <v>Having Deeper Conversations</v>
      </c>
      <c r="L1199" s="20" t="s">
        <v>175</v>
      </c>
      <c r="M1199" s="4"/>
      <c r="N1199" s="2" t="s">
        <v>19</v>
      </c>
      <c r="O1199" s="2"/>
      <c r="P1199" s="4">
        <v>1</v>
      </c>
      <c r="Q1199" s="2" t="s">
        <v>412</v>
      </c>
      <c r="R1199" s="11">
        <f>SUBTOTAL(3,_xlfn.SINGLE(tbl_file[RowId]))</f>
        <v>1</v>
      </c>
    </row>
    <row r="1200" spans="10:18">
      <c r="J1200" s="4">
        <v>1316</v>
      </c>
      <c r="K1200" s="21" t="str">
        <f>HYPERLINK("obsidian://open?vault=o2&amp;file=Having%20Deeper%20Conversations.md","Having Deeper Conversations")</f>
        <v>Having Deeper Conversations</v>
      </c>
      <c r="L1200" s="20" t="s">
        <v>175</v>
      </c>
      <c r="M1200" s="4"/>
      <c r="N1200" s="2" t="s">
        <v>2606</v>
      </c>
      <c r="O1200" s="2"/>
      <c r="P1200" s="4">
        <v>2</v>
      </c>
      <c r="Q1200" s="2" t="s">
        <v>2624</v>
      </c>
      <c r="R1200" s="11">
        <f>SUBTOTAL(3,_xlfn.SINGLE(tbl_file[RowId]))</f>
        <v>1</v>
      </c>
    </row>
    <row r="1201" spans="10:18">
      <c r="J1201" s="4">
        <v>1317</v>
      </c>
      <c r="K1201" s="21" t="str">
        <f>HYPERLINK("obsidian://open?vault=o2&amp;file=Having%20Deeper%20Conversations.md","Having Deeper Conversations")</f>
        <v>Having Deeper Conversations</v>
      </c>
      <c r="L1201" s="20" t="s">
        <v>175</v>
      </c>
      <c r="M1201" s="4"/>
      <c r="N1201" s="2" t="s">
        <v>133</v>
      </c>
      <c r="O1201" s="2"/>
      <c r="P1201" s="4">
        <v>1</v>
      </c>
      <c r="Q1201" s="2" t="s">
        <v>2111</v>
      </c>
      <c r="R1201" s="11">
        <f>SUBTOTAL(3,_xlfn.SINGLE(tbl_file[RowId]))</f>
        <v>1</v>
      </c>
    </row>
    <row r="1202" spans="10:18">
      <c r="J1202" s="4">
        <v>1970</v>
      </c>
      <c r="K1202" s="21" t="str">
        <f>HYPERLINK("obsidian://open?vault=o2&amp;file=Hire%20a%20Realtor.md","Hire a Realtor")</f>
        <v>Hire a Realtor</v>
      </c>
      <c r="L1202" s="20" t="s">
        <v>175</v>
      </c>
      <c r="M1202" s="4"/>
      <c r="N1202" s="2" t="s">
        <v>127</v>
      </c>
      <c r="O1202" s="2"/>
      <c r="P1202" s="4">
        <v>1</v>
      </c>
      <c r="Q1202" s="2" t="s">
        <v>1960</v>
      </c>
      <c r="R1202" s="11">
        <f>SUBTOTAL(3,_xlfn.SINGLE(tbl_file[RowId]))</f>
        <v>1</v>
      </c>
    </row>
    <row r="1203" spans="10:18">
      <c r="J1203" s="4">
        <v>1971</v>
      </c>
      <c r="K1203" s="21" t="str">
        <f>HYPERLINK("obsidian://open?vault=o2&amp;file=Hire%20a%20Realtor.md","Hire a Realtor")</f>
        <v>Hire a Realtor</v>
      </c>
      <c r="L1203" s="20" t="s">
        <v>175</v>
      </c>
      <c r="M1203" s="4"/>
      <c r="N1203" s="2" t="s">
        <v>2606</v>
      </c>
      <c r="O1203" s="2"/>
      <c r="P1203" s="4">
        <v>1</v>
      </c>
      <c r="Q1203" s="2" t="s">
        <v>2414</v>
      </c>
      <c r="R1203" s="11">
        <f>SUBTOTAL(3,_xlfn.SINGLE(tbl_file[RowId]))</f>
        <v>1</v>
      </c>
    </row>
    <row r="1204" spans="10:18">
      <c r="J1204" s="4">
        <v>1972</v>
      </c>
      <c r="K1204" s="21" t="str">
        <f>HYPERLINK("obsidian://open?vault=o2&amp;file=Hire%20a%20Realtor.md","Hire a Realtor")</f>
        <v>Hire a Realtor</v>
      </c>
      <c r="L1204" s="20" t="s">
        <v>175</v>
      </c>
      <c r="M1204" s="4"/>
      <c r="N1204" s="2" t="s">
        <v>135</v>
      </c>
      <c r="O1204" s="2"/>
      <c r="P1204" s="4">
        <v>1</v>
      </c>
      <c r="Q1204" s="2" t="s">
        <v>2148</v>
      </c>
      <c r="R1204" s="11">
        <f>SUBTOTAL(3,_xlfn.SINGLE(tbl_file[RowId]))</f>
        <v>1</v>
      </c>
    </row>
    <row r="1205" spans="10:18">
      <c r="J1205" s="4">
        <v>163</v>
      </c>
      <c r="K1205" s="21" t="str">
        <f>HYPERLINK("obsidian://open?vault=o2&amp;file=Homesale%20Timeline.md","Homesale Timeline")</f>
        <v>Homesale Timeline</v>
      </c>
      <c r="L1205" s="20" t="s">
        <v>175</v>
      </c>
      <c r="M1205" s="4"/>
      <c r="N1205" s="2" t="s">
        <v>50</v>
      </c>
      <c r="O1205" s="2"/>
      <c r="P1205" s="4">
        <v>1</v>
      </c>
      <c r="Q1205" s="2" t="s">
        <v>1594</v>
      </c>
      <c r="R1205" s="11">
        <f>SUBTOTAL(3,_xlfn.SINGLE(tbl_file[RowId]))</f>
        <v>1</v>
      </c>
    </row>
    <row r="1206" spans="10:18">
      <c r="J1206" s="4">
        <v>164</v>
      </c>
      <c r="K1206" s="21" t="str">
        <f>HYPERLINK("obsidian://open?vault=o2&amp;file=Homesale%20Timeline.md","Homesale Timeline")</f>
        <v>Homesale Timeline</v>
      </c>
      <c r="L1206" s="20" t="s">
        <v>175</v>
      </c>
      <c r="M1206" s="4"/>
      <c r="N1206" s="2" t="s">
        <v>127</v>
      </c>
      <c r="O1206" s="2"/>
      <c r="P1206" s="4">
        <v>1</v>
      </c>
      <c r="Q1206" s="2" t="s">
        <v>1954</v>
      </c>
      <c r="R1206" s="11">
        <f>SUBTOTAL(3,_xlfn.SINGLE(tbl_file[RowId]))</f>
        <v>1</v>
      </c>
    </row>
    <row r="1207" spans="10:18">
      <c r="J1207" s="4">
        <v>165</v>
      </c>
      <c r="K1207" s="21" t="str">
        <f>HYPERLINK("obsidian://open?vault=o2&amp;file=Homesale%20Timeline.md","Homesale Timeline")</f>
        <v>Homesale Timeline</v>
      </c>
      <c r="L1207" s="20" t="s">
        <v>175</v>
      </c>
      <c r="M1207" s="4"/>
      <c r="N1207" s="2" t="s">
        <v>2606</v>
      </c>
      <c r="O1207" s="2"/>
      <c r="P1207" s="4">
        <v>1</v>
      </c>
      <c r="Q1207" s="2" t="s">
        <v>2365</v>
      </c>
      <c r="R1207" s="11">
        <f>SUBTOTAL(3,_xlfn.SINGLE(tbl_file[RowId]))</f>
        <v>1</v>
      </c>
    </row>
    <row r="1208" spans="10:18">
      <c r="J1208" s="4">
        <v>999</v>
      </c>
      <c r="K1208" s="21" t="str">
        <f>HYPERLINK("obsidian://open?vault=o2&amp;file=Hotel%20Parkerson%20%20OBX%20Connection%20Message%20Board.md","Hotel Parkerson  OBX Connection Message Board")</f>
        <v>Hotel Parkerson  OBX Connection Message Board</v>
      </c>
      <c r="L1208" s="20" t="s">
        <v>175</v>
      </c>
      <c r="M1208" s="4"/>
      <c r="N1208" s="2" t="s">
        <v>33</v>
      </c>
      <c r="O1208" s="2"/>
      <c r="P1208" s="4">
        <v>1</v>
      </c>
      <c r="Q1208" s="2" t="s">
        <v>2634</v>
      </c>
      <c r="R1208" s="11">
        <f>SUBTOTAL(3,_xlfn.SINGLE(tbl_file[RowId]))</f>
        <v>1</v>
      </c>
    </row>
    <row r="1209" spans="10:18">
      <c r="J1209" s="4">
        <v>1000</v>
      </c>
      <c r="K1209" s="21" t="str">
        <f>HYPERLINK("obsidian://open?vault=o2&amp;file=Hotel%20Parkerson%20%20OBX%20Connection%20Message%20Board.md","Hotel Parkerson  OBX Connection Message Board")</f>
        <v>Hotel Parkerson  OBX Connection Message Board</v>
      </c>
      <c r="L1209" s="20" t="s">
        <v>175</v>
      </c>
      <c r="M1209" s="4"/>
      <c r="N1209" s="2" t="s">
        <v>46</v>
      </c>
      <c r="O1209" s="2"/>
      <c r="P1209" s="4">
        <v>1</v>
      </c>
      <c r="Q1209" s="2" t="s">
        <v>2634</v>
      </c>
      <c r="R1209" s="11">
        <f>SUBTOTAL(3,_xlfn.SINGLE(tbl_file[RowId]))</f>
        <v>1</v>
      </c>
    </row>
    <row r="1210" spans="10:18">
      <c r="J1210" s="4">
        <v>1001</v>
      </c>
      <c r="K1210" s="21" t="str">
        <f>HYPERLINK("obsidian://open?vault=o2&amp;file=Hotel%20Parkerson%20%20OBX%20Connection%20Message%20Board.md","Hotel Parkerson  OBX Connection Message Board")</f>
        <v>Hotel Parkerson  OBX Connection Message Board</v>
      </c>
      <c r="L1210" s="20" t="s">
        <v>175</v>
      </c>
      <c r="M1210" s="4"/>
      <c r="N1210" s="2" t="s">
        <v>132</v>
      </c>
      <c r="O1210" s="2"/>
      <c r="P1210" s="4">
        <v>1</v>
      </c>
      <c r="Q1210" s="2" t="s">
        <v>2052</v>
      </c>
      <c r="R1210" s="11">
        <f>SUBTOTAL(3,_xlfn.SINGLE(tbl_file[RowId]))</f>
        <v>1</v>
      </c>
    </row>
    <row r="1211" spans="10:18">
      <c r="J1211" s="4">
        <v>1002</v>
      </c>
      <c r="K1211" s="21" t="str">
        <f>HYPERLINK("obsidian://open?vault=o2&amp;file=Hotel%20Parkerson%20%20OBX%20Connection%20Message%20Board.md","Hotel Parkerson  OBX Connection Message Board")</f>
        <v>Hotel Parkerson  OBX Connection Message Board</v>
      </c>
      <c r="L1211" s="20" t="s">
        <v>175</v>
      </c>
      <c r="M1211" s="4"/>
      <c r="N1211" s="2" t="s">
        <v>137</v>
      </c>
      <c r="O1211" s="2"/>
      <c r="P1211" s="4">
        <v>1</v>
      </c>
      <c r="Q1211" s="2" t="s">
        <v>2203</v>
      </c>
      <c r="R1211" s="11">
        <f>SUBTOTAL(3,_xlfn.SINGLE(tbl_file[RowId]))</f>
        <v>1</v>
      </c>
    </row>
    <row r="1212" spans="10:18">
      <c r="J1212" s="4">
        <v>1003</v>
      </c>
      <c r="K1212" s="21" t="str">
        <f>HYPERLINK("obsidian://open?vault=o2&amp;file=Hotel%20Parkerson%20%20OBX%20Connection%20Message%20Board.md","Hotel Parkerson  OBX Connection Message Board")</f>
        <v>Hotel Parkerson  OBX Connection Message Board</v>
      </c>
      <c r="L1212" s="20" t="s">
        <v>175</v>
      </c>
      <c r="M1212" s="4" t="s">
        <v>2626</v>
      </c>
      <c r="N1212" s="2" t="s">
        <v>2606</v>
      </c>
      <c r="O1212" s="2"/>
      <c r="P1212" s="4">
        <v>1</v>
      </c>
      <c r="Q1212" s="2" t="s">
        <v>2537</v>
      </c>
      <c r="R1212" s="11">
        <f>SUBTOTAL(3,_xlfn.SINGLE(tbl_file[RowId]))</f>
        <v>1</v>
      </c>
    </row>
    <row r="1213" spans="10:18">
      <c r="J1213" s="4">
        <v>1973</v>
      </c>
      <c r="K1213" s="21" t="str">
        <f>HYPERLINK("obsidian://open?vault=o2&amp;file=Hotkey%20ShortList%20by%20Assigned%20Hotkey.md","Hotkey ShortList by Assigned Hotkey")</f>
        <v>Hotkey ShortList by Assigned Hotkey</v>
      </c>
      <c r="L1213" s="20" t="s">
        <v>175</v>
      </c>
      <c r="M1213" s="4"/>
      <c r="N1213" s="2" t="s">
        <v>13</v>
      </c>
      <c r="O1213" s="2"/>
      <c r="P1213" s="4">
        <v>1</v>
      </c>
      <c r="Q1213" s="2" t="s">
        <v>318</v>
      </c>
      <c r="R1213" s="11">
        <f>SUBTOTAL(3,_xlfn.SINGLE(tbl_file[RowId]))</f>
        <v>1</v>
      </c>
    </row>
    <row r="1214" spans="10:18">
      <c r="J1214" s="4">
        <v>1974</v>
      </c>
      <c r="K1214" s="21" t="str">
        <f>HYPERLINK("obsidian://open?vault=o2&amp;file=Hotkey%20ShortList%20by%20Assigned%20Hotkey.md","Hotkey ShortList by Assigned Hotkey")</f>
        <v>Hotkey ShortList by Assigned Hotkey</v>
      </c>
      <c r="L1214" s="20" t="s">
        <v>175</v>
      </c>
      <c r="M1214" s="4"/>
      <c r="N1214" s="2" t="s">
        <v>27</v>
      </c>
      <c r="O1214" s="2"/>
      <c r="P1214" s="4">
        <v>1</v>
      </c>
      <c r="Q1214" s="2" t="s">
        <v>3096</v>
      </c>
      <c r="R1214" s="11">
        <f>SUBTOTAL(3,_xlfn.SINGLE(tbl_file[RowId]))</f>
        <v>1</v>
      </c>
    </row>
    <row r="1215" spans="10:18">
      <c r="J1215" s="4">
        <v>1975</v>
      </c>
      <c r="K1215" s="21" t="str">
        <f>HYPERLINK("obsidian://open?vault=o2&amp;file=Hotkey%20ShortList%20by%20Assigned%20Hotkey.md","Hotkey ShortList by Assigned Hotkey")</f>
        <v>Hotkey ShortList by Assigned Hotkey</v>
      </c>
      <c r="L1215" s="20" t="s">
        <v>175</v>
      </c>
      <c r="M1215" s="4"/>
      <c r="N1215" s="2" t="s">
        <v>50</v>
      </c>
      <c r="O1215" s="2"/>
      <c r="P1215" s="4">
        <v>1</v>
      </c>
      <c r="Q1215" s="2" t="s">
        <v>1488</v>
      </c>
      <c r="R1215" s="11">
        <f>SUBTOTAL(3,_xlfn.SINGLE(tbl_file[RowId]))</f>
        <v>1</v>
      </c>
    </row>
    <row r="1216" spans="10:18">
      <c r="J1216" s="4">
        <v>1976</v>
      </c>
      <c r="K1216" s="21" t="str">
        <f>HYPERLINK("obsidian://open?vault=o2&amp;file=Hotkey%20ShortList%20by%20Assigned%20Hotkey.md","Hotkey ShortList by Assigned Hotkey")</f>
        <v>Hotkey ShortList by Assigned Hotkey</v>
      </c>
      <c r="L1216" s="20" t="s">
        <v>175</v>
      </c>
      <c r="M1216" s="4"/>
      <c r="N1216" s="2" t="s">
        <v>127</v>
      </c>
      <c r="O1216" s="2"/>
      <c r="P1216" s="4">
        <v>1</v>
      </c>
      <c r="Q1216" s="2" t="s">
        <v>1952</v>
      </c>
      <c r="R1216" s="11">
        <f>SUBTOTAL(3,_xlfn.SINGLE(tbl_file[RowId]))</f>
        <v>1</v>
      </c>
    </row>
    <row r="1217" spans="10:18">
      <c r="J1217" s="4">
        <v>1977</v>
      </c>
      <c r="K1217" s="21" t="str">
        <f>HYPERLINK("obsidian://open?vault=o2&amp;file=Hotkey%20ShortList%20by%20Assigned%20Hotkey.md","Hotkey ShortList by Assigned Hotkey")</f>
        <v>Hotkey ShortList by Assigned Hotkey</v>
      </c>
      <c r="L1217" s="20" t="s">
        <v>175</v>
      </c>
      <c r="M1217" s="4"/>
      <c r="N1217" s="2" t="s">
        <v>2606</v>
      </c>
      <c r="O1217" s="2"/>
      <c r="P1217" s="4">
        <v>1</v>
      </c>
      <c r="Q1217" s="2" t="s">
        <v>123</v>
      </c>
      <c r="R1217" s="11">
        <f>SUBTOTAL(3,_xlfn.SINGLE(tbl_file[RowId]))</f>
        <v>1</v>
      </c>
    </row>
    <row r="1218" spans="10:18">
      <c r="J1218" s="4">
        <v>1978</v>
      </c>
      <c r="K1218" s="21" t="str">
        <f>HYPERLINK("obsidian://open?vault=o2&amp;file=Hotkey%20ShortList%20by%20Command%20Name.md","Hotkey ShortList by Command Name")</f>
        <v>Hotkey ShortList by Command Name</v>
      </c>
      <c r="L1218" s="20" t="s">
        <v>175</v>
      </c>
      <c r="M1218" s="4"/>
      <c r="N1218" s="2" t="s">
        <v>13</v>
      </c>
      <c r="O1218" s="2"/>
      <c r="P1218" s="4">
        <v>1</v>
      </c>
      <c r="Q1218" s="2" t="s">
        <v>318</v>
      </c>
      <c r="R1218" s="11">
        <f>SUBTOTAL(3,_xlfn.SINGLE(tbl_file[RowId]))</f>
        <v>1</v>
      </c>
    </row>
    <row r="1219" spans="10:18">
      <c r="J1219" s="4">
        <v>1979</v>
      </c>
      <c r="K1219" s="21" t="str">
        <f>HYPERLINK("obsidian://open?vault=o2&amp;file=Hotkey%20ShortList%20by%20Command%20Name.md","Hotkey ShortList by Command Name")</f>
        <v>Hotkey ShortList by Command Name</v>
      </c>
      <c r="L1219" s="20" t="s">
        <v>175</v>
      </c>
      <c r="M1219" s="4"/>
      <c r="N1219" s="2" t="s">
        <v>27</v>
      </c>
      <c r="O1219" s="2"/>
      <c r="P1219" s="4">
        <v>1</v>
      </c>
      <c r="Q1219" s="2" t="s">
        <v>3096</v>
      </c>
      <c r="R1219" s="11">
        <f>SUBTOTAL(3,_xlfn.SINGLE(tbl_file[RowId]))</f>
        <v>1</v>
      </c>
    </row>
    <row r="1220" spans="10:18">
      <c r="J1220" s="4">
        <v>1980</v>
      </c>
      <c r="K1220" s="21" t="str">
        <f>HYPERLINK("obsidian://open?vault=o2&amp;file=Hotkey%20ShortList%20by%20Command%20Name.md","Hotkey ShortList by Command Name")</f>
        <v>Hotkey ShortList by Command Name</v>
      </c>
      <c r="L1220" s="20" t="s">
        <v>175</v>
      </c>
      <c r="M1220" s="4"/>
      <c r="N1220" s="2" t="s">
        <v>50</v>
      </c>
      <c r="O1220" s="2"/>
      <c r="P1220" s="4">
        <v>1</v>
      </c>
      <c r="Q1220" s="2" t="s">
        <v>1488</v>
      </c>
      <c r="R1220" s="11">
        <f>SUBTOTAL(3,_xlfn.SINGLE(tbl_file[RowId]))</f>
        <v>1</v>
      </c>
    </row>
    <row r="1221" spans="10:18">
      <c r="J1221" s="4">
        <v>1981</v>
      </c>
      <c r="K1221" s="21" t="str">
        <f>HYPERLINK("obsidian://open?vault=o2&amp;file=Hotkey%20ShortList%20by%20Command%20Name.md","Hotkey ShortList by Command Name")</f>
        <v>Hotkey ShortList by Command Name</v>
      </c>
      <c r="L1221" s="20" t="s">
        <v>175</v>
      </c>
      <c r="M1221" s="4"/>
      <c r="N1221" s="2" t="s">
        <v>127</v>
      </c>
      <c r="O1221" s="2"/>
      <c r="P1221" s="4">
        <v>1</v>
      </c>
      <c r="Q1221" s="2" t="s">
        <v>1952</v>
      </c>
      <c r="R1221" s="11">
        <f>SUBTOTAL(3,_xlfn.SINGLE(tbl_file[RowId]))</f>
        <v>1</v>
      </c>
    </row>
    <row r="1222" spans="10:18">
      <c r="J1222" s="4">
        <v>1982</v>
      </c>
      <c r="K1222" s="21" t="str">
        <f>HYPERLINK("obsidian://open?vault=o2&amp;file=Hotkey%20ShortList%20by%20Command%20Name.md","Hotkey ShortList by Command Name")</f>
        <v>Hotkey ShortList by Command Name</v>
      </c>
      <c r="L1222" s="20" t="s">
        <v>175</v>
      </c>
      <c r="M1222" s="4"/>
      <c r="N1222" s="2" t="s">
        <v>2606</v>
      </c>
      <c r="O1222" s="2"/>
      <c r="P1222" s="4">
        <v>1</v>
      </c>
      <c r="Q1222" s="2" t="s">
        <v>123</v>
      </c>
      <c r="R1222" s="11">
        <f>SUBTOTAL(3,_xlfn.SINGLE(tbl_file[RowId]))</f>
        <v>1</v>
      </c>
    </row>
    <row r="1223" spans="10:18">
      <c r="J1223" s="4">
        <v>1983</v>
      </c>
      <c r="K1223" s="21" t="str">
        <f t="shared" ref="K1223:K1228" si="30">HYPERLINK("obsidian://open?vault=o2&amp;file=Hotkey%20ShortList%20by%20CommandID.md","Hotkey ShortList by CommandID")</f>
        <v>Hotkey ShortList by CommandID</v>
      </c>
      <c r="L1223" s="20" t="s">
        <v>175</v>
      </c>
      <c r="M1223" s="4"/>
      <c r="N1223" s="2" t="s">
        <v>13</v>
      </c>
      <c r="O1223" s="2"/>
      <c r="P1223" s="4">
        <v>1</v>
      </c>
      <c r="Q1223" s="2" t="s">
        <v>318</v>
      </c>
      <c r="R1223" s="11">
        <f>SUBTOTAL(3,_xlfn.SINGLE(tbl_file[RowId]))</f>
        <v>1</v>
      </c>
    </row>
    <row r="1224" spans="10:18">
      <c r="J1224" s="4">
        <v>1984</v>
      </c>
      <c r="K1224" s="21" t="str">
        <f t="shared" si="30"/>
        <v>Hotkey ShortList by CommandID</v>
      </c>
      <c r="L1224" s="20" t="s">
        <v>175</v>
      </c>
      <c r="M1224" s="4"/>
      <c r="N1224" s="2" t="s">
        <v>27</v>
      </c>
      <c r="O1224" s="2"/>
      <c r="P1224" s="4">
        <v>1</v>
      </c>
      <c r="Q1224" s="2" t="s">
        <v>3096</v>
      </c>
      <c r="R1224" s="11">
        <f>SUBTOTAL(3,_xlfn.SINGLE(tbl_file[RowId]))</f>
        <v>1</v>
      </c>
    </row>
    <row r="1225" spans="10:18">
      <c r="J1225" s="4">
        <v>1985</v>
      </c>
      <c r="K1225" s="21" t="str">
        <f t="shared" si="30"/>
        <v>Hotkey ShortList by CommandID</v>
      </c>
      <c r="L1225" s="20" t="s">
        <v>175</v>
      </c>
      <c r="M1225" s="4"/>
      <c r="N1225" s="2" t="s">
        <v>50</v>
      </c>
      <c r="O1225" s="2"/>
      <c r="P1225" s="4">
        <v>1</v>
      </c>
      <c r="Q1225" s="2" t="s">
        <v>1488</v>
      </c>
      <c r="R1225" s="11">
        <f>SUBTOTAL(3,_xlfn.SINGLE(tbl_file[RowId]))</f>
        <v>1</v>
      </c>
    </row>
    <row r="1226" spans="10:18">
      <c r="J1226" s="4">
        <v>1986</v>
      </c>
      <c r="K1226" s="21" t="str">
        <f t="shared" si="30"/>
        <v>Hotkey ShortList by CommandID</v>
      </c>
      <c r="L1226" s="20" t="s">
        <v>175</v>
      </c>
      <c r="M1226" s="4"/>
      <c r="N1226" s="2" t="s">
        <v>127</v>
      </c>
      <c r="O1226" s="2"/>
      <c r="P1226" s="4">
        <v>1</v>
      </c>
      <c r="Q1226" s="2" t="s">
        <v>1952</v>
      </c>
      <c r="R1226" s="11">
        <f>SUBTOTAL(3,_xlfn.SINGLE(tbl_file[RowId]))</f>
        <v>1</v>
      </c>
    </row>
    <row r="1227" spans="10:18">
      <c r="J1227" s="4">
        <v>1987</v>
      </c>
      <c r="K1227" s="21" t="str">
        <f t="shared" si="30"/>
        <v>Hotkey ShortList by CommandID</v>
      </c>
      <c r="L1227" s="20" t="s">
        <v>175</v>
      </c>
      <c r="M1227" s="4"/>
      <c r="N1227" s="2" t="s">
        <v>2606</v>
      </c>
      <c r="O1227" s="2"/>
      <c r="P1227" s="4">
        <v>1</v>
      </c>
      <c r="Q1227" s="2" t="s">
        <v>123</v>
      </c>
      <c r="R1227" s="11">
        <f>SUBTOTAL(3,_xlfn.SINGLE(tbl_file[RowId]))</f>
        <v>1</v>
      </c>
    </row>
    <row r="1228" spans="10:18">
      <c r="J1228" s="4">
        <v>1988</v>
      </c>
      <c r="K1228" s="21" t="str">
        <f t="shared" si="30"/>
        <v>Hotkey ShortList by CommandID</v>
      </c>
      <c r="L1228" s="20" t="s">
        <v>175</v>
      </c>
      <c r="M1228" s="4" t="s">
        <v>2626</v>
      </c>
      <c r="N1228" s="2" t="s">
        <v>2606</v>
      </c>
      <c r="O1228" s="2"/>
      <c r="P1228" s="4">
        <v>1</v>
      </c>
      <c r="Q1228" s="2" t="s">
        <v>778</v>
      </c>
      <c r="R1228" s="11">
        <f>SUBTOTAL(3,_xlfn.SINGLE(tbl_file[RowId]))</f>
        <v>1</v>
      </c>
    </row>
    <row r="1229" spans="10:18">
      <c r="J1229" s="4">
        <v>1997</v>
      </c>
      <c r="K1229" s="21" t="str">
        <f>HYPERLINK("obsidian://open?vault=o2&amp;file=Hotkeys%20by%20Assigned%20Hotkey.md","Hotkeys by Assigned Hotkey")</f>
        <v>Hotkeys by Assigned Hotkey</v>
      </c>
      <c r="L1229" s="20" t="s">
        <v>175</v>
      </c>
      <c r="M1229" s="4"/>
      <c r="N1229" s="2" t="s">
        <v>13</v>
      </c>
      <c r="O1229" s="2"/>
      <c r="P1229" s="4">
        <v>1</v>
      </c>
      <c r="Q1229" s="2" t="s">
        <v>318</v>
      </c>
      <c r="R1229" s="11">
        <f>SUBTOTAL(3,_xlfn.SINGLE(tbl_file[RowId]))</f>
        <v>1</v>
      </c>
    </row>
    <row r="1230" spans="10:18">
      <c r="J1230" s="4">
        <v>1998</v>
      </c>
      <c r="K1230" s="21" t="str">
        <f>HYPERLINK("obsidian://open?vault=o2&amp;file=Hotkeys%20by%20Assigned%20Hotkey.md","Hotkeys by Assigned Hotkey")</f>
        <v>Hotkeys by Assigned Hotkey</v>
      </c>
      <c r="L1230" s="20" t="s">
        <v>175</v>
      </c>
      <c r="M1230" s="4"/>
      <c r="N1230" s="2" t="s">
        <v>27</v>
      </c>
      <c r="O1230" s="2"/>
      <c r="P1230" s="4">
        <v>1</v>
      </c>
      <c r="Q1230" s="2" t="s">
        <v>3096</v>
      </c>
      <c r="R1230" s="11">
        <f>SUBTOTAL(3,_xlfn.SINGLE(tbl_file[RowId]))</f>
        <v>1</v>
      </c>
    </row>
    <row r="1231" spans="10:18">
      <c r="J1231" s="4">
        <v>1999</v>
      </c>
      <c r="K1231" s="21" t="str">
        <f>HYPERLINK("obsidian://open?vault=o2&amp;file=Hotkeys%20by%20Assigned%20Hotkey.md","Hotkeys by Assigned Hotkey")</f>
        <v>Hotkeys by Assigned Hotkey</v>
      </c>
      <c r="L1231" s="20" t="s">
        <v>175</v>
      </c>
      <c r="M1231" s="4"/>
      <c r="N1231" s="2" t="s">
        <v>50</v>
      </c>
      <c r="O1231" s="2"/>
      <c r="P1231" s="4">
        <v>1</v>
      </c>
      <c r="Q1231" s="2" t="s">
        <v>1488</v>
      </c>
      <c r="R1231" s="11">
        <f>SUBTOTAL(3,_xlfn.SINGLE(tbl_file[RowId]))</f>
        <v>1</v>
      </c>
    </row>
    <row r="1232" spans="10:18">
      <c r="J1232" s="4">
        <v>2000</v>
      </c>
      <c r="K1232" s="21" t="str">
        <f>HYPERLINK("obsidian://open?vault=o2&amp;file=Hotkeys%20by%20Assigned%20Hotkey.md","Hotkeys by Assigned Hotkey")</f>
        <v>Hotkeys by Assigned Hotkey</v>
      </c>
      <c r="L1232" s="20" t="s">
        <v>175</v>
      </c>
      <c r="M1232" s="4"/>
      <c r="N1232" s="2" t="s">
        <v>127</v>
      </c>
      <c r="O1232" s="2"/>
      <c r="P1232" s="4">
        <v>1</v>
      </c>
      <c r="Q1232" s="2" t="s">
        <v>1952</v>
      </c>
      <c r="R1232" s="11">
        <f>SUBTOTAL(3,_xlfn.SINGLE(tbl_file[RowId]))</f>
        <v>1</v>
      </c>
    </row>
    <row r="1233" spans="10:18">
      <c r="J1233" s="4">
        <v>2001</v>
      </c>
      <c r="K1233" s="21" t="str">
        <f>HYPERLINK("obsidian://open?vault=o2&amp;file=Hotkeys%20by%20Assigned%20Hotkey.md","Hotkeys by Assigned Hotkey")</f>
        <v>Hotkeys by Assigned Hotkey</v>
      </c>
      <c r="L1233" s="20" t="s">
        <v>175</v>
      </c>
      <c r="M1233" s="4"/>
      <c r="N1233" s="2" t="s">
        <v>2606</v>
      </c>
      <c r="O1233" s="2"/>
      <c r="P1233" s="4">
        <v>1</v>
      </c>
      <c r="Q1233" s="2" t="s">
        <v>123</v>
      </c>
      <c r="R1233" s="11">
        <f>SUBTOTAL(3,_xlfn.SINGLE(tbl_file[RowId]))</f>
        <v>1</v>
      </c>
    </row>
    <row r="1234" spans="10:18">
      <c r="J1234" s="4">
        <v>2002</v>
      </c>
      <c r="K1234" s="21" t="str">
        <f>HYPERLINK("obsidian://open?vault=o2&amp;file=Hotkeys%20by%20Command%20Name.md","Hotkeys by Command Name")</f>
        <v>Hotkeys by Command Name</v>
      </c>
      <c r="L1234" s="20" t="s">
        <v>175</v>
      </c>
      <c r="M1234" s="4"/>
      <c r="N1234" s="2" t="s">
        <v>13</v>
      </c>
      <c r="O1234" s="2"/>
      <c r="P1234" s="4">
        <v>1</v>
      </c>
      <c r="Q1234" s="2" t="s">
        <v>318</v>
      </c>
      <c r="R1234" s="11">
        <f>SUBTOTAL(3,_xlfn.SINGLE(tbl_file[RowId]))</f>
        <v>1</v>
      </c>
    </row>
    <row r="1235" spans="10:18">
      <c r="J1235" s="4">
        <v>2003</v>
      </c>
      <c r="K1235" s="21" t="str">
        <f>HYPERLINK("obsidian://open?vault=o2&amp;file=Hotkeys%20by%20Command%20Name.md","Hotkeys by Command Name")</f>
        <v>Hotkeys by Command Name</v>
      </c>
      <c r="L1235" s="20" t="s">
        <v>175</v>
      </c>
      <c r="M1235" s="4"/>
      <c r="N1235" s="2" t="s">
        <v>27</v>
      </c>
      <c r="O1235" s="2"/>
      <c r="P1235" s="4">
        <v>1</v>
      </c>
      <c r="Q1235" s="2" t="s">
        <v>3096</v>
      </c>
      <c r="R1235" s="11">
        <f>SUBTOTAL(3,_xlfn.SINGLE(tbl_file[RowId]))</f>
        <v>1</v>
      </c>
    </row>
    <row r="1236" spans="10:18">
      <c r="J1236" s="4">
        <v>2004</v>
      </c>
      <c r="K1236" s="21" t="str">
        <f>HYPERLINK("obsidian://open?vault=o2&amp;file=Hotkeys%20by%20Command%20Name.md","Hotkeys by Command Name")</f>
        <v>Hotkeys by Command Name</v>
      </c>
      <c r="L1236" s="20" t="s">
        <v>175</v>
      </c>
      <c r="M1236" s="4"/>
      <c r="N1236" s="2" t="s">
        <v>50</v>
      </c>
      <c r="O1236" s="2"/>
      <c r="P1236" s="4">
        <v>1</v>
      </c>
      <c r="Q1236" s="2" t="s">
        <v>1488</v>
      </c>
      <c r="R1236" s="11">
        <f>SUBTOTAL(3,_xlfn.SINGLE(tbl_file[RowId]))</f>
        <v>1</v>
      </c>
    </row>
    <row r="1237" spans="10:18">
      <c r="J1237" s="4">
        <v>2005</v>
      </c>
      <c r="K1237" s="21" t="str">
        <f>HYPERLINK("obsidian://open?vault=o2&amp;file=Hotkeys%20by%20Command%20Name.md","Hotkeys by Command Name")</f>
        <v>Hotkeys by Command Name</v>
      </c>
      <c r="L1237" s="20" t="s">
        <v>175</v>
      </c>
      <c r="M1237" s="4"/>
      <c r="N1237" s="2" t="s">
        <v>127</v>
      </c>
      <c r="O1237" s="2"/>
      <c r="P1237" s="4">
        <v>1</v>
      </c>
      <c r="Q1237" s="2" t="s">
        <v>1952</v>
      </c>
      <c r="R1237" s="11">
        <f>SUBTOTAL(3,_xlfn.SINGLE(tbl_file[RowId]))</f>
        <v>1</v>
      </c>
    </row>
    <row r="1238" spans="10:18">
      <c r="J1238" s="4">
        <v>2006</v>
      </c>
      <c r="K1238" s="21" t="str">
        <f>HYPERLINK("obsidian://open?vault=o2&amp;file=Hotkeys%20by%20Command%20Name.md","Hotkeys by Command Name")</f>
        <v>Hotkeys by Command Name</v>
      </c>
      <c r="L1238" s="20" t="s">
        <v>175</v>
      </c>
      <c r="M1238" s="4"/>
      <c r="N1238" s="2" t="s">
        <v>2606</v>
      </c>
      <c r="O1238" s="2"/>
      <c r="P1238" s="4">
        <v>1</v>
      </c>
      <c r="Q1238" s="2" t="s">
        <v>123</v>
      </c>
      <c r="R1238" s="11">
        <f>SUBTOTAL(3,_xlfn.SINGLE(tbl_file[RowId]))</f>
        <v>1</v>
      </c>
    </row>
    <row r="1239" spans="10:18">
      <c r="J1239" s="4">
        <v>2007</v>
      </c>
      <c r="K1239" s="21" t="str">
        <f t="shared" ref="K1239:K1244" si="31">HYPERLINK("obsidian://open?vault=o2&amp;file=Hotkeys%20by%20CommandID.md","Hotkeys by CommandID")</f>
        <v>Hotkeys by CommandID</v>
      </c>
      <c r="L1239" s="20" t="s">
        <v>175</v>
      </c>
      <c r="M1239" s="4"/>
      <c r="N1239" s="2" t="s">
        <v>13</v>
      </c>
      <c r="O1239" s="2"/>
      <c r="P1239" s="4">
        <v>1</v>
      </c>
      <c r="Q1239" s="2" t="s">
        <v>318</v>
      </c>
      <c r="R1239" s="11">
        <f>SUBTOTAL(3,_xlfn.SINGLE(tbl_file[RowId]))</f>
        <v>1</v>
      </c>
    </row>
    <row r="1240" spans="10:18">
      <c r="J1240" s="4">
        <v>2008</v>
      </c>
      <c r="K1240" s="21" t="str">
        <f t="shared" si="31"/>
        <v>Hotkeys by CommandID</v>
      </c>
      <c r="L1240" s="20" t="s">
        <v>175</v>
      </c>
      <c r="M1240" s="4"/>
      <c r="N1240" s="2" t="s">
        <v>27</v>
      </c>
      <c r="O1240" s="2"/>
      <c r="P1240" s="4">
        <v>1</v>
      </c>
      <c r="Q1240" s="2" t="s">
        <v>3096</v>
      </c>
      <c r="R1240" s="11">
        <f>SUBTOTAL(3,_xlfn.SINGLE(tbl_file[RowId]))</f>
        <v>1</v>
      </c>
    </row>
    <row r="1241" spans="10:18">
      <c r="J1241" s="4">
        <v>2009</v>
      </c>
      <c r="K1241" s="21" t="str">
        <f t="shared" si="31"/>
        <v>Hotkeys by CommandID</v>
      </c>
      <c r="L1241" s="20" t="s">
        <v>175</v>
      </c>
      <c r="M1241" s="4"/>
      <c r="N1241" s="2" t="s">
        <v>50</v>
      </c>
      <c r="O1241" s="2"/>
      <c r="P1241" s="4">
        <v>1</v>
      </c>
      <c r="Q1241" s="2" t="s">
        <v>1488</v>
      </c>
      <c r="R1241" s="11">
        <f>SUBTOTAL(3,_xlfn.SINGLE(tbl_file[RowId]))</f>
        <v>1</v>
      </c>
    </row>
    <row r="1242" spans="10:18">
      <c r="J1242" s="4">
        <v>2010</v>
      </c>
      <c r="K1242" s="21" t="str">
        <f t="shared" si="31"/>
        <v>Hotkeys by CommandID</v>
      </c>
      <c r="L1242" s="20" t="s">
        <v>175</v>
      </c>
      <c r="M1242" s="4"/>
      <c r="N1242" s="2" t="s">
        <v>127</v>
      </c>
      <c r="O1242" s="2"/>
      <c r="P1242" s="4">
        <v>1</v>
      </c>
      <c r="Q1242" s="2" t="s">
        <v>1952</v>
      </c>
      <c r="R1242" s="11">
        <f>SUBTOTAL(3,_xlfn.SINGLE(tbl_file[RowId]))</f>
        <v>1</v>
      </c>
    </row>
    <row r="1243" spans="10:18">
      <c r="J1243" s="4">
        <v>2011</v>
      </c>
      <c r="K1243" s="21" t="str">
        <f t="shared" si="31"/>
        <v>Hotkeys by CommandID</v>
      </c>
      <c r="L1243" s="20" t="s">
        <v>175</v>
      </c>
      <c r="M1243" s="4"/>
      <c r="N1243" s="2" t="s">
        <v>2606</v>
      </c>
      <c r="O1243" s="2"/>
      <c r="P1243" s="4">
        <v>1</v>
      </c>
      <c r="Q1243" s="2" t="s">
        <v>123</v>
      </c>
      <c r="R1243" s="11">
        <f>SUBTOTAL(3,_xlfn.SINGLE(tbl_file[RowId]))</f>
        <v>1</v>
      </c>
    </row>
    <row r="1244" spans="10:18">
      <c r="J1244" s="4">
        <v>2012</v>
      </c>
      <c r="K1244" s="21" t="str">
        <f t="shared" si="31"/>
        <v>Hotkeys by CommandID</v>
      </c>
      <c r="L1244" s="20" t="s">
        <v>175</v>
      </c>
      <c r="M1244" s="4" t="s">
        <v>2626</v>
      </c>
      <c r="N1244" s="2" t="s">
        <v>2606</v>
      </c>
      <c r="O1244" s="2"/>
      <c r="P1244" s="4">
        <v>1</v>
      </c>
      <c r="Q1244" s="2" t="s">
        <v>778</v>
      </c>
      <c r="R1244" s="11">
        <f>SUBTOTAL(3,_xlfn.SINGLE(tbl_file[RowId]))</f>
        <v>1</v>
      </c>
    </row>
    <row r="1245" spans="10:18">
      <c r="J1245" s="4">
        <v>1992</v>
      </c>
      <c r="K1245" s="21" t="str">
        <f>HYPERLINK("obsidian://open?vault=o2&amp;file=Hotkeys%20Defined.md","Hotkeys Defined")</f>
        <v>Hotkeys Defined</v>
      </c>
      <c r="L1245" s="20" t="s">
        <v>175</v>
      </c>
      <c r="M1245" s="4"/>
      <c r="N1245" s="2" t="s">
        <v>50</v>
      </c>
      <c r="O1245" s="2"/>
      <c r="P1245" s="4">
        <v>1</v>
      </c>
      <c r="Q1245" s="2" t="s">
        <v>1488</v>
      </c>
      <c r="R1245" s="11">
        <f>SUBTOTAL(3,_xlfn.SINGLE(tbl_file[RowId]))</f>
        <v>1</v>
      </c>
    </row>
    <row r="1246" spans="10:18">
      <c r="J1246" s="4">
        <v>1993</v>
      </c>
      <c r="K1246" s="21" t="str">
        <f>HYPERLINK("obsidian://open?vault=o2&amp;file=Hotkeys%20Defined.md","Hotkeys Defined")</f>
        <v>Hotkeys Defined</v>
      </c>
      <c r="L1246" s="20" t="s">
        <v>175</v>
      </c>
      <c r="M1246" s="4"/>
      <c r="N1246" s="2" t="s">
        <v>127</v>
      </c>
      <c r="O1246" s="2"/>
      <c r="P1246" s="4">
        <v>1</v>
      </c>
      <c r="Q1246" s="2" t="s">
        <v>1952</v>
      </c>
      <c r="R1246" s="11">
        <f>SUBTOTAL(3,_xlfn.SINGLE(tbl_file[RowId]))</f>
        <v>1</v>
      </c>
    </row>
    <row r="1247" spans="10:18">
      <c r="J1247" s="4">
        <v>1994</v>
      </c>
      <c r="K1247" s="21" t="str">
        <f>HYPERLINK("obsidian://open?vault=o2&amp;file=Hotkeys%20Defined.md","Hotkeys Defined")</f>
        <v>Hotkeys Defined</v>
      </c>
      <c r="L1247" s="20" t="s">
        <v>175</v>
      </c>
      <c r="M1247" s="4"/>
      <c r="N1247" s="2" t="s">
        <v>2606</v>
      </c>
      <c r="O1247" s="2"/>
      <c r="P1247" s="4">
        <v>1</v>
      </c>
      <c r="Q1247" s="2" t="s">
        <v>123</v>
      </c>
      <c r="R1247" s="11">
        <f>SUBTOTAL(3,_xlfn.SINGLE(tbl_file[RowId]))</f>
        <v>1</v>
      </c>
    </row>
    <row r="1248" spans="10:18">
      <c r="J1248" s="4">
        <v>1995</v>
      </c>
      <c r="K1248" s="21" t="str">
        <f>HYPERLINK("obsidian://open?vault=o2&amp;file=Hotkeys%20Defined.md","Hotkeys Defined")</f>
        <v>Hotkeys Defined</v>
      </c>
      <c r="L1248" s="20" t="s">
        <v>175</v>
      </c>
      <c r="M1248" s="4"/>
      <c r="N1248" s="2" t="s">
        <v>133</v>
      </c>
      <c r="O1248" s="2"/>
      <c r="P1248" s="4">
        <v>1</v>
      </c>
      <c r="Q1248" s="2" t="s">
        <v>2107</v>
      </c>
      <c r="R1248" s="11">
        <f>SUBTOTAL(3,_xlfn.SINGLE(tbl_file[RowId]))</f>
        <v>1</v>
      </c>
    </row>
    <row r="1249" spans="10:18">
      <c r="J1249" s="4">
        <v>1996</v>
      </c>
      <c r="K1249" s="21" t="str">
        <f>HYPERLINK("obsidian://open?vault=o2&amp;file=Hotkeys%20Defined.md","Hotkeys Defined")</f>
        <v>Hotkeys Defined</v>
      </c>
      <c r="L1249" s="20" t="s">
        <v>175</v>
      </c>
      <c r="M1249" s="4" t="s">
        <v>2626</v>
      </c>
      <c r="N1249" s="2" t="s">
        <v>2606</v>
      </c>
      <c r="O1249" s="2"/>
      <c r="P1249" s="4">
        <v>1</v>
      </c>
      <c r="Q1249" s="2" t="s">
        <v>778</v>
      </c>
      <c r="R1249" s="11">
        <f>SUBTOTAL(3,_xlfn.SINGLE(tbl_file[RowId]))</f>
        <v>1</v>
      </c>
    </row>
    <row r="1250" spans="10:18">
      <c r="J1250" s="4">
        <v>1989</v>
      </c>
      <c r="K1250" s="21" t="str">
        <f>HYPERLINK("obsidian://open?vault=o2&amp;file=Hotkeys%20Defined-Orig.md","Hotkeys Defined-Orig")</f>
        <v>Hotkeys Defined-Orig</v>
      </c>
      <c r="L1250" s="20" t="s">
        <v>175</v>
      </c>
      <c r="M1250" s="4"/>
      <c r="N1250" s="2" t="s">
        <v>13</v>
      </c>
      <c r="O1250" s="2"/>
      <c r="P1250" s="4">
        <v>1</v>
      </c>
      <c r="Q1250" s="2" t="s">
        <v>318</v>
      </c>
      <c r="R1250" s="11">
        <f>SUBTOTAL(3,_xlfn.SINGLE(tbl_file[RowId]))</f>
        <v>1</v>
      </c>
    </row>
    <row r="1251" spans="10:18">
      <c r="J1251" s="4">
        <v>1990</v>
      </c>
      <c r="K1251" s="21" t="str">
        <f>HYPERLINK("obsidian://open?vault=o2&amp;file=Hotkeys%20Defined-Orig.md","Hotkeys Defined-Orig")</f>
        <v>Hotkeys Defined-Orig</v>
      </c>
      <c r="L1251" s="20" t="s">
        <v>175</v>
      </c>
      <c r="M1251" s="4"/>
      <c r="N1251" s="2" t="s">
        <v>27</v>
      </c>
      <c r="O1251" s="2"/>
      <c r="P1251" s="4">
        <v>1</v>
      </c>
      <c r="Q1251" s="2" t="s">
        <v>3096</v>
      </c>
      <c r="R1251" s="11">
        <f>SUBTOTAL(3,_xlfn.SINGLE(tbl_file[RowId]))</f>
        <v>1</v>
      </c>
    </row>
    <row r="1252" spans="10:18">
      <c r="J1252" s="4">
        <v>1991</v>
      </c>
      <c r="K1252" s="21" t="str">
        <f>HYPERLINK("obsidian://open?vault=o2&amp;file=Hotkeys%20Defined-Orig.md","Hotkeys Defined-Orig")</f>
        <v>Hotkeys Defined-Orig</v>
      </c>
      <c r="L1252" s="20" t="s">
        <v>175</v>
      </c>
      <c r="M1252" s="4"/>
      <c r="N1252" s="2" t="s">
        <v>2606</v>
      </c>
      <c r="O1252" s="2"/>
      <c r="P1252" s="4">
        <v>3</v>
      </c>
      <c r="Q1252" s="2" t="s">
        <v>3097</v>
      </c>
      <c r="R1252" s="11">
        <f>SUBTOTAL(3,_xlfn.SINGLE(tbl_file[RowId]))</f>
        <v>1</v>
      </c>
    </row>
    <row r="1253" spans="10:18">
      <c r="J1253" s="4">
        <v>2582</v>
      </c>
      <c r="K1253" s="21" t="str">
        <f>HYPERLINK("obsidian://open?vault=o2&amp;file=Hover%20Icons%20for%20Headers%20Addon.md","Hover Icons for Headers Addon")</f>
        <v>Hover Icons for Headers Addon</v>
      </c>
      <c r="L1253" s="20" t="s">
        <v>175</v>
      </c>
      <c r="M1253" s="4" t="s">
        <v>2626</v>
      </c>
      <c r="N1253" s="2" t="s">
        <v>2606</v>
      </c>
      <c r="O1253" s="2" t="s">
        <v>2704</v>
      </c>
      <c r="P1253" s="4">
        <v>2</v>
      </c>
      <c r="Q1253" s="2" t="s">
        <v>3253</v>
      </c>
      <c r="R1253" s="11">
        <f>SUBTOTAL(3,_xlfn.SINGLE(tbl_file[RowId]))</f>
        <v>1</v>
      </c>
    </row>
    <row r="1254" spans="10:18">
      <c r="J1254" s="4">
        <v>1004</v>
      </c>
      <c r="K1254"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4" s="20" t="s">
        <v>175</v>
      </c>
      <c r="M1254" s="4"/>
      <c r="N1254" s="2" t="s">
        <v>33</v>
      </c>
      <c r="O1254" s="2"/>
      <c r="P1254" s="4">
        <v>1</v>
      </c>
      <c r="Q1254" s="2" t="s">
        <v>481</v>
      </c>
      <c r="R1254" s="11">
        <f>SUBTOTAL(3,_xlfn.SINGLE(tbl_file[RowId]))</f>
        <v>1</v>
      </c>
    </row>
    <row r="1255" spans="10:18">
      <c r="J1255" s="4">
        <v>1005</v>
      </c>
      <c r="K1255"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5" s="20" t="s">
        <v>175</v>
      </c>
      <c r="M1255" s="4"/>
      <c r="N1255" s="2" t="s">
        <v>46</v>
      </c>
      <c r="O1255" s="2"/>
      <c r="P1255" s="4">
        <v>1</v>
      </c>
      <c r="Q1255" s="2" t="s">
        <v>657</v>
      </c>
      <c r="R1255" s="11">
        <f>SUBTOTAL(3,_xlfn.SINGLE(tbl_file[RowId]))</f>
        <v>1</v>
      </c>
    </row>
    <row r="1256" spans="10:18">
      <c r="J1256" s="4">
        <v>1006</v>
      </c>
      <c r="K1256"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6" s="20" t="s">
        <v>175</v>
      </c>
      <c r="M1256" s="4"/>
      <c r="N1256" s="2" t="s">
        <v>132</v>
      </c>
      <c r="O1256" s="2"/>
      <c r="P1256" s="4">
        <v>1</v>
      </c>
      <c r="Q1256" s="2" t="s">
        <v>2054</v>
      </c>
      <c r="R1256" s="11">
        <f>SUBTOTAL(3,_xlfn.SINGLE(tbl_file[RowId]))</f>
        <v>1</v>
      </c>
    </row>
    <row r="1257" spans="10:18">
      <c r="J1257" s="4">
        <v>1007</v>
      </c>
      <c r="K1257"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7" s="20" t="s">
        <v>175</v>
      </c>
      <c r="M1257" s="4"/>
      <c r="N1257" s="2" t="s">
        <v>137</v>
      </c>
      <c r="O1257" s="2"/>
      <c r="P1257" s="4">
        <v>1</v>
      </c>
      <c r="Q1257" s="2" t="s">
        <v>2179</v>
      </c>
      <c r="R1257" s="11">
        <f>SUBTOTAL(3,_xlfn.SINGLE(tbl_file[RowId]))</f>
        <v>1</v>
      </c>
    </row>
    <row r="1258" spans="10:18">
      <c r="J1258" s="4">
        <v>1008</v>
      </c>
      <c r="K1258"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8" s="20" t="s">
        <v>175</v>
      </c>
      <c r="M1258" s="4" t="s">
        <v>2626</v>
      </c>
      <c r="N1258" s="2" t="s">
        <v>2606</v>
      </c>
      <c r="O1258" s="2"/>
      <c r="P1258" s="4">
        <v>1</v>
      </c>
      <c r="Q1258" s="2" t="s">
        <v>2537</v>
      </c>
      <c r="R1258" s="11">
        <f>SUBTOTAL(3,_xlfn.SINGLE(tbl_file[RowId]))</f>
        <v>1</v>
      </c>
    </row>
    <row r="1259" spans="10:18">
      <c r="J1259" s="4">
        <v>227</v>
      </c>
      <c r="K1259" s="21" t="str">
        <f t="shared" ref="K1259:K1265" si="32">HYPERLINK("obsidian://open?vault=o2&amp;file=How%20I%20export%20dataviews.md","How I export dataviews")</f>
        <v>How I export dataviews</v>
      </c>
      <c r="L1259" s="20" t="s">
        <v>175</v>
      </c>
      <c r="M1259" s="4"/>
      <c r="N1259" s="2" t="s">
        <v>48</v>
      </c>
      <c r="O1259" s="2"/>
      <c r="P1259" s="4">
        <v>5</v>
      </c>
      <c r="Q1259" s="2" t="s">
        <v>2650</v>
      </c>
      <c r="R1259" s="11">
        <f>SUBTOTAL(3,_xlfn.SINGLE(tbl_file[RowId]))</f>
        <v>1</v>
      </c>
    </row>
    <row r="1260" spans="10:18">
      <c r="J1260" s="4">
        <v>228</v>
      </c>
      <c r="K1260" s="21" t="str">
        <f t="shared" si="32"/>
        <v>How I export dataviews</v>
      </c>
      <c r="L1260" s="20" t="s">
        <v>175</v>
      </c>
      <c r="M1260" s="4"/>
      <c r="N1260" s="2" t="s">
        <v>50</v>
      </c>
      <c r="O1260" s="2"/>
      <c r="P1260" s="4">
        <v>1</v>
      </c>
      <c r="Q1260" s="2" t="s">
        <v>1639</v>
      </c>
      <c r="R1260" s="11">
        <f>SUBTOTAL(3,_xlfn.SINGLE(tbl_file[RowId]))</f>
        <v>1</v>
      </c>
    </row>
    <row r="1261" spans="10:18">
      <c r="J1261" s="4">
        <v>229</v>
      </c>
      <c r="K1261" s="21" t="str">
        <f t="shared" si="32"/>
        <v>How I export dataviews</v>
      </c>
      <c r="L1261" s="20" t="s">
        <v>175</v>
      </c>
      <c r="M1261" s="4"/>
      <c r="N1261" s="2" t="s">
        <v>118</v>
      </c>
      <c r="O1261" s="2"/>
      <c r="P1261" s="4">
        <v>1</v>
      </c>
      <c r="Q1261" s="2" t="s">
        <v>1641</v>
      </c>
      <c r="R1261" s="11">
        <f>SUBTOTAL(3,_xlfn.SINGLE(tbl_file[RowId]))</f>
        <v>1</v>
      </c>
    </row>
    <row r="1262" spans="10:18">
      <c r="J1262" s="4">
        <v>230</v>
      </c>
      <c r="K1262" s="21" t="str">
        <f t="shared" si="32"/>
        <v>How I export dataviews</v>
      </c>
      <c r="L1262" s="20" t="s">
        <v>175</v>
      </c>
      <c r="M1262" s="4"/>
      <c r="N1262" s="2" t="s">
        <v>123</v>
      </c>
      <c r="O1262" s="2"/>
      <c r="P1262" s="4">
        <v>1</v>
      </c>
      <c r="Q1262" s="2" t="s">
        <v>1564</v>
      </c>
      <c r="R1262" s="11">
        <f>SUBTOTAL(3,_xlfn.SINGLE(tbl_file[RowId]))</f>
        <v>1</v>
      </c>
    </row>
    <row r="1263" spans="10:18">
      <c r="J1263" s="4">
        <v>231</v>
      </c>
      <c r="K1263" s="21" t="str">
        <f t="shared" si="32"/>
        <v>How I export dataviews</v>
      </c>
      <c r="L1263" s="20" t="s">
        <v>175</v>
      </c>
      <c r="M1263" s="4"/>
      <c r="N1263" s="2" t="s">
        <v>127</v>
      </c>
      <c r="O1263" s="2"/>
      <c r="P1263" s="4">
        <v>1</v>
      </c>
      <c r="Q1263" s="2" t="s">
        <v>1956</v>
      </c>
      <c r="R1263" s="11">
        <f>SUBTOTAL(3,_xlfn.SINGLE(tbl_file[RowId]))</f>
        <v>1</v>
      </c>
    </row>
    <row r="1264" spans="10:18">
      <c r="J1264" s="4">
        <v>232</v>
      </c>
      <c r="K1264" s="21" t="str">
        <f t="shared" si="32"/>
        <v>How I export dataviews</v>
      </c>
      <c r="L1264" s="20" t="s">
        <v>175</v>
      </c>
      <c r="M1264" s="4"/>
      <c r="N1264" s="2" t="s">
        <v>2606</v>
      </c>
      <c r="O1264" s="2"/>
      <c r="P1264" s="4">
        <v>1</v>
      </c>
      <c r="Q1264" s="2" t="s">
        <v>2416</v>
      </c>
      <c r="R1264" s="11">
        <f>SUBTOTAL(3,_xlfn.SINGLE(tbl_file[RowId]))</f>
        <v>1</v>
      </c>
    </row>
    <row r="1265" spans="10:18">
      <c r="J1265" s="4">
        <v>233</v>
      </c>
      <c r="K1265" s="21" t="str">
        <f t="shared" si="32"/>
        <v>How I export dataviews</v>
      </c>
      <c r="L1265" s="20" t="s">
        <v>175</v>
      </c>
      <c r="M1265" s="4"/>
      <c r="N1265" s="2" t="s">
        <v>133</v>
      </c>
      <c r="O1265" s="2"/>
      <c r="P1265" s="4">
        <v>1</v>
      </c>
      <c r="Q1265" s="2" t="s">
        <v>2113</v>
      </c>
      <c r="R1265" s="11">
        <f>SUBTOTAL(3,_xlfn.SINGLE(tbl_file[RowId]))</f>
        <v>1</v>
      </c>
    </row>
    <row r="1266" spans="10:18">
      <c r="J1266" s="4">
        <v>2013</v>
      </c>
      <c r="K1266" s="21" t="str">
        <f t="shared" ref="K1266:K1274" si="33">HYPERLINK("obsidian://open?vault=o2&amp;file=How%20I%20Would%20Learn%20Obsidian%20MD%20%28If%20I%20could%20start%20over%29.md","How I Would Learn Obsidian MD (If I could start over)")</f>
        <v>How I Would Learn Obsidian MD (If I could start over)</v>
      </c>
      <c r="L1266" s="20" t="s">
        <v>175</v>
      </c>
      <c r="M1266" s="4"/>
      <c r="N1266" s="2" t="s">
        <v>11</v>
      </c>
      <c r="O1266" s="2"/>
      <c r="P1266" s="4">
        <v>1</v>
      </c>
      <c r="Q1266" s="2" t="s">
        <v>204</v>
      </c>
      <c r="R1266" s="11">
        <f>SUBTOTAL(3,_xlfn.SINGLE(tbl_file[RowId]))</f>
        <v>1</v>
      </c>
    </row>
    <row r="1267" spans="10:18">
      <c r="J1267" s="4">
        <v>2014</v>
      </c>
      <c r="K1267" s="21" t="str">
        <f t="shared" si="33"/>
        <v>How I Would Learn Obsidian MD (If I could start over)</v>
      </c>
      <c r="L1267" s="20" t="s">
        <v>175</v>
      </c>
      <c r="M1267" s="4"/>
      <c r="N1267" s="2" t="s">
        <v>13</v>
      </c>
      <c r="O1267" s="2"/>
      <c r="P1267" s="4">
        <v>1</v>
      </c>
      <c r="Q1267" s="2" t="s">
        <v>308</v>
      </c>
      <c r="R1267" s="11">
        <f>SUBTOTAL(3,_xlfn.SINGLE(tbl_file[RowId]))</f>
        <v>1</v>
      </c>
    </row>
    <row r="1268" spans="10:18">
      <c r="J1268" s="4">
        <v>2015</v>
      </c>
      <c r="K1268" s="21" t="str">
        <f t="shared" si="33"/>
        <v>How I Would Learn Obsidian MD (If I could start over)</v>
      </c>
      <c r="L1268" s="20" t="s">
        <v>175</v>
      </c>
      <c r="M1268" s="4"/>
      <c r="N1268" s="2" t="s">
        <v>16</v>
      </c>
      <c r="O1268" s="2"/>
      <c r="P1268" s="4">
        <v>1</v>
      </c>
      <c r="Q1268" s="2" t="s">
        <v>308</v>
      </c>
      <c r="R1268" s="11">
        <f>SUBTOTAL(3,_xlfn.SINGLE(tbl_file[RowId]))</f>
        <v>1</v>
      </c>
    </row>
    <row r="1269" spans="10:18">
      <c r="J1269" s="4">
        <v>2016</v>
      </c>
      <c r="K1269" s="21" t="str">
        <f t="shared" si="33"/>
        <v>How I Would Learn Obsidian MD (If I could start over)</v>
      </c>
      <c r="L1269" s="20" t="s">
        <v>175</v>
      </c>
      <c r="M1269" s="4"/>
      <c r="N1269" s="2" t="s">
        <v>37</v>
      </c>
      <c r="O1269" s="2"/>
      <c r="P1269" s="4">
        <v>1</v>
      </c>
      <c r="Q1269" s="2" t="s">
        <v>585</v>
      </c>
      <c r="R1269" s="11">
        <f>SUBTOTAL(3,_xlfn.SINGLE(tbl_file[RowId]))</f>
        <v>1</v>
      </c>
    </row>
    <row r="1270" spans="10:18">
      <c r="J1270" s="4">
        <v>2017</v>
      </c>
      <c r="K1270" s="21" t="str">
        <f t="shared" si="33"/>
        <v>How I Would Learn Obsidian MD (If I could start over)</v>
      </c>
      <c r="L1270" s="20" t="s">
        <v>175</v>
      </c>
      <c r="M1270" s="4"/>
      <c r="N1270" s="2" t="s">
        <v>48</v>
      </c>
      <c r="O1270" s="2"/>
      <c r="P1270" s="4">
        <v>18</v>
      </c>
      <c r="Q1270" s="2" t="s">
        <v>3098</v>
      </c>
      <c r="R1270" s="11">
        <f>SUBTOTAL(3,_xlfn.SINGLE(tbl_file[RowId]))</f>
        <v>1</v>
      </c>
    </row>
    <row r="1271" spans="10:18">
      <c r="J1271" s="4">
        <v>2018</v>
      </c>
      <c r="K1271" s="21" t="str">
        <f t="shared" si="33"/>
        <v>How I Would Learn Obsidian MD (If I could start over)</v>
      </c>
      <c r="L1271" s="20" t="s">
        <v>175</v>
      </c>
      <c r="M1271" s="4"/>
      <c r="N1271" s="2" t="s">
        <v>119</v>
      </c>
      <c r="O1271" s="2"/>
      <c r="P1271" s="4">
        <v>1</v>
      </c>
      <c r="Q1271" s="2" t="s">
        <v>3099</v>
      </c>
      <c r="R1271" s="11">
        <f>SUBTOTAL(3,_xlfn.SINGLE(tbl_file[RowId]))</f>
        <v>1</v>
      </c>
    </row>
    <row r="1272" spans="10:18">
      <c r="J1272" s="4">
        <v>2019</v>
      </c>
      <c r="K1272" s="21" t="str">
        <f t="shared" si="33"/>
        <v>How I Would Learn Obsidian MD (If I could start over)</v>
      </c>
      <c r="L1272" s="20" t="s">
        <v>175</v>
      </c>
      <c r="M1272" s="4"/>
      <c r="N1272" s="2" t="s">
        <v>131</v>
      </c>
      <c r="O1272" s="2"/>
      <c r="P1272" s="4">
        <v>1</v>
      </c>
      <c r="Q1272" s="2" t="s">
        <v>2011</v>
      </c>
      <c r="R1272" s="11">
        <f>SUBTOTAL(3,_xlfn.SINGLE(tbl_file[RowId]))</f>
        <v>1</v>
      </c>
    </row>
    <row r="1273" spans="10:18">
      <c r="J1273" s="4">
        <v>2020</v>
      </c>
      <c r="K1273" s="21" t="str">
        <f t="shared" si="33"/>
        <v>How I Would Learn Obsidian MD (If I could start over)</v>
      </c>
      <c r="L1273" s="20" t="s">
        <v>175</v>
      </c>
      <c r="M1273" s="4"/>
      <c r="N1273" s="2" t="s">
        <v>132</v>
      </c>
      <c r="O1273" s="2"/>
      <c r="P1273" s="4">
        <v>1</v>
      </c>
      <c r="Q1273" s="2" t="s">
        <v>204</v>
      </c>
      <c r="R1273" s="11">
        <f>SUBTOTAL(3,_xlfn.SINGLE(tbl_file[RowId]))</f>
        <v>1</v>
      </c>
    </row>
    <row r="1274" spans="10:18">
      <c r="J1274" s="4">
        <v>2021</v>
      </c>
      <c r="K1274" s="21" t="str">
        <f t="shared" si="33"/>
        <v>How I Would Learn Obsidian MD (If I could start over)</v>
      </c>
      <c r="L1274" s="20" t="s">
        <v>175</v>
      </c>
      <c r="M1274" s="4"/>
      <c r="N1274" s="2" t="s">
        <v>137</v>
      </c>
      <c r="O1274" s="2"/>
      <c r="P1274" s="4">
        <v>1</v>
      </c>
      <c r="Q1274" s="2" t="s">
        <v>2241</v>
      </c>
      <c r="R1274" s="11">
        <f>SUBTOTAL(3,_xlfn.SINGLE(tbl_file[RowId]))</f>
        <v>1</v>
      </c>
    </row>
    <row r="1275" spans="10:18">
      <c r="J1275" s="4">
        <v>2022</v>
      </c>
      <c r="K1275" s="21" t="str">
        <f t="shared" ref="K1275:K1280" si="34">HYPERLINK("obsidian://open?vault=o2&amp;file=How%20To%20Cook%20a%20Chicken%20Breast%20-%20FlavCity%20with%20Bobby%20Parrish.md","How To Cook a Chicken Breast - FlavCity with Bobby Parrish")</f>
        <v>How To Cook a Chicken Breast - FlavCity with Bobby Parrish</v>
      </c>
      <c r="L1275" s="20" t="s">
        <v>175</v>
      </c>
      <c r="M1275" s="4"/>
      <c r="N1275" s="2" t="s">
        <v>11</v>
      </c>
      <c r="O1275" s="2"/>
      <c r="P1275" s="4">
        <v>1</v>
      </c>
      <c r="Q1275" s="2" t="s">
        <v>206</v>
      </c>
      <c r="R1275" s="11">
        <f>SUBTOTAL(3,_xlfn.SINGLE(tbl_file[RowId]))</f>
        <v>1</v>
      </c>
    </row>
    <row r="1276" spans="10:18">
      <c r="J1276" s="4">
        <v>2023</v>
      </c>
      <c r="K1276" s="21" t="str">
        <f t="shared" si="34"/>
        <v>How To Cook a Chicken Breast - FlavCity with Bobby Parrish</v>
      </c>
      <c r="L1276" s="20" t="s">
        <v>175</v>
      </c>
      <c r="M1276" s="4"/>
      <c r="N1276" s="2" t="s">
        <v>33</v>
      </c>
      <c r="O1276" s="2"/>
      <c r="P1276" s="4">
        <v>1</v>
      </c>
      <c r="Q1276" s="2" t="s">
        <v>206</v>
      </c>
      <c r="R1276" s="11">
        <f>SUBTOTAL(3,_xlfn.SINGLE(tbl_file[RowId]))</f>
        <v>1</v>
      </c>
    </row>
    <row r="1277" spans="10:18">
      <c r="J1277" s="4">
        <v>2024</v>
      </c>
      <c r="K1277" s="21" t="str">
        <f t="shared" si="34"/>
        <v>How To Cook a Chicken Breast - FlavCity with Bobby Parrish</v>
      </c>
      <c r="L1277" s="20" t="s">
        <v>175</v>
      </c>
      <c r="M1277" s="4"/>
      <c r="N1277" s="2" t="s">
        <v>46</v>
      </c>
      <c r="O1277" s="2"/>
      <c r="P1277" s="4">
        <v>1</v>
      </c>
      <c r="Q1277" s="2" t="s">
        <v>631</v>
      </c>
      <c r="R1277" s="11">
        <f>SUBTOTAL(3,_xlfn.SINGLE(tbl_file[RowId]))</f>
        <v>1</v>
      </c>
    </row>
    <row r="1278" spans="10:18">
      <c r="J1278" s="4">
        <v>2025</v>
      </c>
      <c r="K1278" s="21" t="str">
        <f t="shared" si="34"/>
        <v>How To Cook a Chicken Breast - FlavCity with Bobby Parrish</v>
      </c>
      <c r="L1278" s="20" t="s">
        <v>175</v>
      </c>
      <c r="M1278" s="4"/>
      <c r="N1278" s="2" t="s">
        <v>132</v>
      </c>
      <c r="O1278" s="2"/>
      <c r="P1278" s="4">
        <v>1</v>
      </c>
      <c r="Q1278" s="2" t="s">
        <v>2057</v>
      </c>
      <c r="R1278" s="11">
        <f>SUBTOTAL(3,_xlfn.SINGLE(tbl_file[RowId]))</f>
        <v>1</v>
      </c>
    </row>
    <row r="1279" spans="10:18">
      <c r="J1279" s="4">
        <v>2026</v>
      </c>
      <c r="K1279" s="21" t="str">
        <f t="shared" si="34"/>
        <v>How To Cook a Chicken Breast - FlavCity with Bobby Parrish</v>
      </c>
      <c r="L1279" s="20" t="s">
        <v>175</v>
      </c>
      <c r="M1279" s="4"/>
      <c r="N1279" s="2" t="s">
        <v>137</v>
      </c>
      <c r="O1279" s="2"/>
      <c r="P1279" s="4">
        <v>1</v>
      </c>
      <c r="Q1279" s="2" t="s">
        <v>2195</v>
      </c>
      <c r="R1279" s="11">
        <f>SUBTOTAL(3,_xlfn.SINGLE(tbl_file[RowId]))</f>
        <v>1</v>
      </c>
    </row>
    <row r="1280" spans="10:18">
      <c r="J1280" s="4">
        <v>2027</v>
      </c>
      <c r="K1280" s="21" t="str">
        <f t="shared" si="34"/>
        <v>How To Cook a Chicken Breast - FlavCity with Bobby Parrish</v>
      </c>
      <c r="L1280" s="20" t="s">
        <v>175</v>
      </c>
      <c r="M1280" s="4" t="s">
        <v>2626</v>
      </c>
      <c r="N1280" s="2" t="s">
        <v>2606</v>
      </c>
      <c r="O1280" s="2"/>
      <c r="P1280" s="4">
        <v>2</v>
      </c>
      <c r="Q1280" s="2" t="s">
        <v>3100</v>
      </c>
      <c r="R1280" s="11">
        <f>SUBTOTAL(3,_xlfn.SINGLE(tbl_file[RowId]))</f>
        <v>1</v>
      </c>
    </row>
    <row r="1281" spans="10:18">
      <c r="J1281" s="4">
        <v>641</v>
      </c>
      <c r="K1281" s="21" t="str">
        <f t="shared" ref="K1281:K1292" si="35">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L1281" s="20" t="s">
        <v>175</v>
      </c>
      <c r="M1281" s="4"/>
      <c r="N1281" s="2" t="s">
        <v>11</v>
      </c>
      <c r="O1281" s="2"/>
      <c r="P1281" s="4">
        <v>1</v>
      </c>
      <c r="Q1281" s="2" t="s">
        <v>214</v>
      </c>
      <c r="R1281" s="11">
        <f>SUBTOTAL(3,_xlfn.SINGLE(tbl_file[RowId]))</f>
        <v>1</v>
      </c>
    </row>
    <row r="1282" spans="10:18">
      <c r="J1282" s="4">
        <v>642</v>
      </c>
      <c r="K1282" s="21" t="str">
        <f t="shared" si="35"/>
        <v>How to Create Fluid Color Abstract Background Fast &amp; Simple Adobe Illustrator Tutorial</v>
      </c>
      <c r="L1282" s="20" t="s">
        <v>175</v>
      </c>
      <c r="M1282" s="4"/>
      <c r="N1282" s="2" t="s">
        <v>13</v>
      </c>
      <c r="O1282" s="2"/>
      <c r="P1282" s="4">
        <v>1</v>
      </c>
      <c r="Q1282" s="2" t="s">
        <v>314</v>
      </c>
      <c r="R1282" s="11">
        <f>SUBTOTAL(3,_xlfn.SINGLE(tbl_file[RowId]))</f>
        <v>1</v>
      </c>
    </row>
    <row r="1283" spans="10:18">
      <c r="J1283" s="4">
        <v>643</v>
      </c>
      <c r="K1283" s="21" t="str">
        <f t="shared" si="35"/>
        <v>How to Create Fluid Color Abstract Background Fast &amp; Simple Adobe Illustrator Tutorial</v>
      </c>
      <c r="L1283" s="20" t="s">
        <v>175</v>
      </c>
      <c r="M1283" s="4"/>
      <c r="N1283" s="2" t="s">
        <v>16</v>
      </c>
      <c r="O1283" s="2"/>
      <c r="P1283" s="4">
        <v>1</v>
      </c>
      <c r="Q1283" s="2" t="s">
        <v>314</v>
      </c>
      <c r="R1283" s="11">
        <f>SUBTOTAL(3,_xlfn.SINGLE(tbl_file[RowId]))</f>
        <v>1</v>
      </c>
    </row>
    <row r="1284" spans="10:18">
      <c r="J1284" s="4">
        <v>644</v>
      </c>
      <c r="K1284" s="21" t="str">
        <f t="shared" si="35"/>
        <v>How to Create Fluid Color Abstract Background Fast &amp; Simple Adobe Illustrator Tutorial</v>
      </c>
      <c r="L1284" s="20" t="s">
        <v>175</v>
      </c>
      <c r="M1284" s="4"/>
      <c r="N1284" s="2" t="s">
        <v>37</v>
      </c>
      <c r="O1284" s="2"/>
      <c r="P1284" s="4">
        <v>1</v>
      </c>
      <c r="Q1284" s="2" t="s">
        <v>593</v>
      </c>
      <c r="R1284" s="11">
        <f>SUBTOTAL(3,_xlfn.SINGLE(tbl_file[RowId]))</f>
        <v>1</v>
      </c>
    </row>
    <row r="1285" spans="10:18">
      <c r="J1285" s="4">
        <v>645</v>
      </c>
      <c r="K1285" s="21" t="str">
        <f t="shared" si="35"/>
        <v>How to Create Fluid Color Abstract Background Fast &amp; Simple Adobe Illustrator Tutorial</v>
      </c>
      <c r="L1285" s="20" t="s">
        <v>175</v>
      </c>
      <c r="M1285" s="4"/>
      <c r="N1285" s="2" t="s">
        <v>45</v>
      </c>
      <c r="O1285" s="2"/>
      <c r="P1285" s="4">
        <v>1</v>
      </c>
      <c r="Q1285" s="2" t="s">
        <v>614</v>
      </c>
      <c r="R1285" s="11">
        <f>SUBTOTAL(3,_xlfn.SINGLE(tbl_file[RowId]))</f>
        <v>1</v>
      </c>
    </row>
    <row r="1286" spans="10:18">
      <c r="J1286" s="4">
        <v>646</v>
      </c>
      <c r="K1286" s="21" t="str">
        <f t="shared" si="35"/>
        <v>How to Create Fluid Color Abstract Background Fast &amp; Simple Adobe Illustrator Tutorial</v>
      </c>
      <c r="L1286" s="20" t="s">
        <v>175</v>
      </c>
      <c r="M1286" s="4"/>
      <c r="N1286" s="2" t="s">
        <v>48</v>
      </c>
      <c r="O1286" s="2"/>
      <c r="P1286" s="4">
        <v>5</v>
      </c>
      <c r="Q1286" s="2" t="s">
        <v>2738</v>
      </c>
      <c r="R1286" s="11">
        <f>SUBTOTAL(3,_xlfn.SINGLE(tbl_file[RowId]))</f>
        <v>1</v>
      </c>
    </row>
    <row r="1287" spans="10:18">
      <c r="J1287" s="4">
        <v>647</v>
      </c>
      <c r="K1287" s="21" t="str">
        <f t="shared" si="35"/>
        <v>How to Create Fluid Color Abstract Background Fast &amp; Simple Adobe Illustrator Tutorial</v>
      </c>
      <c r="L1287" s="20" t="s">
        <v>175</v>
      </c>
      <c r="M1287" s="4"/>
      <c r="N1287" s="2" t="s">
        <v>119</v>
      </c>
      <c r="O1287" s="2"/>
      <c r="P1287" s="4">
        <v>1</v>
      </c>
      <c r="Q1287" s="2" t="s">
        <v>2739</v>
      </c>
      <c r="R1287" s="11">
        <f>SUBTOTAL(3,_xlfn.SINGLE(tbl_file[RowId]))</f>
        <v>1</v>
      </c>
    </row>
    <row r="1288" spans="10:18">
      <c r="J1288" s="4">
        <v>648</v>
      </c>
      <c r="K1288" s="21" t="str">
        <f t="shared" si="35"/>
        <v>How to Create Fluid Color Abstract Background Fast &amp; Simple Adobe Illustrator Tutorial</v>
      </c>
      <c r="L1288" s="20" t="s">
        <v>175</v>
      </c>
      <c r="M1288" s="4"/>
      <c r="N1288" s="2" t="s">
        <v>126</v>
      </c>
      <c r="O1288" s="2"/>
      <c r="P1288" s="4">
        <v>1</v>
      </c>
      <c r="Q1288" s="2" t="s">
        <v>2740</v>
      </c>
      <c r="R1288" s="11">
        <f>SUBTOTAL(3,_xlfn.SINGLE(tbl_file[RowId]))</f>
        <v>1</v>
      </c>
    </row>
    <row r="1289" spans="10:18">
      <c r="J1289" s="4">
        <v>649</v>
      </c>
      <c r="K1289" s="21" t="str">
        <f t="shared" si="35"/>
        <v>How to Create Fluid Color Abstract Background Fast &amp; Simple Adobe Illustrator Tutorial</v>
      </c>
      <c r="L1289" s="20" t="s">
        <v>175</v>
      </c>
      <c r="M1289" s="4"/>
      <c r="N1289" s="2" t="s">
        <v>2606</v>
      </c>
      <c r="O1289" s="2"/>
      <c r="P1289" s="4">
        <v>2</v>
      </c>
      <c r="Q1289" s="2" t="s">
        <v>2709</v>
      </c>
      <c r="R1289" s="11">
        <f>SUBTOTAL(3,_xlfn.SINGLE(tbl_file[RowId]))</f>
        <v>1</v>
      </c>
    </row>
    <row r="1290" spans="10:18">
      <c r="J1290" s="4">
        <v>650</v>
      </c>
      <c r="K1290" s="21" t="str">
        <f t="shared" si="35"/>
        <v>How to Create Fluid Color Abstract Background Fast &amp; Simple Adobe Illustrator Tutorial</v>
      </c>
      <c r="L1290" s="20" t="s">
        <v>175</v>
      </c>
      <c r="M1290" s="4"/>
      <c r="N1290" s="2" t="s">
        <v>131</v>
      </c>
      <c r="O1290" s="2"/>
      <c r="P1290" s="4">
        <v>1</v>
      </c>
      <c r="Q1290" s="2" t="s">
        <v>2001</v>
      </c>
      <c r="R1290" s="11">
        <f>SUBTOTAL(3,_xlfn.SINGLE(tbl_file[RowId]))</f>
        <v>1</v>
      </c>
    </row>
    <row r="1291" spans="10:18">
      <c r="J1291" s="4">
        <v>651</v>
      </c>
      <c r="K1291" s="21" t="str">
        <f t="shared" si="35"/>
        <v>How to Create Fluid Color Abstract Background Fast &amp; Simple Adobe Illustrator Tutorial</v>
      </c>
      <c r="L1291" s="20" t="s">
        <v>175</v>
      </c>
      <c r="M1291" s="4"/>
      <c r="N1291" s="2" t="s">
        <v>132</v>
      </c>
      <c r="O1291" s="2"/>
      <c r="P1291" s="4">
        <v>1</v>
      </c>
      <c r="Q1291" s="2" t="s">
        <v>214</v>
      </c>
      <c r="R1291" s="11">
        <f>SUBTOTAL(3,_xlfn.SINGLE(tbl_file[RowId]))</f>
        <v>1</v>
      </c>
    </row>
    <row r="1292" spans="10:18">
      <c r="J1292" s="4">
        <v>652</v>
      </c>
      <c r="K1292" s="21" t="str">
        <f t="shared" si="35"/>
        <v>How to Create Fluid Color Abstract Background Fast &amp; Simple Adobe Illustrator Tutorial</v>
      </c>
      <c r="L1292" s="20" t="s">
        <v>175</v>
      </c>
      <c r="M1292" s="4"/>
      <c r="N1292" s="2" t="s">
        <v>137</v>
      </c>
      <c r="O1292" s="2"/>
      <c r="P1292" s="4">
        <v>1</v>
      </c>
      <c r="Q1292" s="2" t="s">
        <v>2231</v>
      </c>
      <c r="R1292" s="11">
        <f>SUBTOTAL(3,_xlfn.SINGLE(tbl_file[RowId]))</f>
        <v>1</v>
      </c>
    </row>
    <row r="1293" spans="10:18">
      <c r="J1293" s="4">
        <v>1088</v>
      </c>
      <c r="K1293" s="21" t="str">
        <f t="shared" ref="K1293:K1301" si="36">HYPERLINK("obsidian://open?vault=o2&amp;file=How%20to%20Create%20So%20Much%20They%20Can%E2%80%99t%20Ignore%20You.md","How to Create So Much They Can’t Ignore You")</f>
        <v>How to Create So Much They Can’t Ignore You</v>
      </c>
      <c r="L1293" s="20" t="s">
        <v>175</v>
      </c>
      <c r="M1293" s="4"/>
      <c r="N1293" s="2" t="s">
        <v>13</v>
      </c>
      <c r="O1293" s="2"/>
      <c r="P1293" s="4">
        <v>1</v>
      </c>
      <c r="Q1293" s="2" t="s">
        <v>276</v>
      </c>
      <c r="R1293" s="11">
        <f>SUBTOTAL(3,_xlfn.SINGLE(tbl_file[RowId]))</f>
        <v>1</v>
      </c>
    </row>
    <row r="1294" spans="10:18">
      <c r="J1294" s="4">
        <v>1089</v>
      </c>
      <c r="K1294" s="21" t="str">
        <f t="shared" si="36"/>
        <v>How to Create So Much They Can’t Ignore You</v>
      </c>
      <c r="L1294" s="20" t="s">
        <v>175</v>
      </c>
      <c r="M1294" s="4"/>
      <c r="N1294" s="2" t="s">
        <v>33</v>
      </c>
      <c r="O1294" s="2"/>
      <c r="P1294" s="4">
        <v>1</v>
      </c>
      <c r="Q1294" s="2" t="s">
        <v>499</v>
      </c>
      <c r="R1294" s="11">
        <f>SUBTOTAL(3,_xlfn.SINGLE(tbl_file[RowId]))</f>
        <v>1</v>
      </c>
    </row>
    <row r="1295" spans="10:18">
      <c r="J1295" s="4">
        <v>1090</v>
      </c>
      <c r="K1295" s="21" t="str">
        <f t="shared" si="36"/>
        <v>How to Create So Much They Can’t Ignore You</v>
      </c>
      <c r="L1295" s="20" t="s">
        <v>175</v>
      </c>
      <c r="M1295" s="4"/>
      <c r="N1295" s="2" t="s">
        <v>46</v>
      </c>
      <c r="O1295" s="2"/>
      <c r="P1295" s="4">
        <v>1</v>
      </c>
      <c r="Q1295" s="2" t="s">
        <v>667</v>
      </c>
      <c r="R1295" s="11">
        <f>SUBTOTAL(3,_xlfn.SINGLE(tbl_file[RowId]))</f>
        <v>1</v>
      </c>
    </row>
    <row r="1296" spans="10:18">
      <c r="J1296" s="4">
        <v>1091</v>
      </c>
      <c r="K1296" s="21" t="str">
        <f t="shared" si="36"/>
        <v>How to Create So Much They Can’t Ignore You</v>
      </c>
      <c r="L1296" s="20" t="s">
        <v>175</v>
      </c>
      <c r="M1296" s="4"/>
      <c r="N1296" s="2" t="s">
        <v>50</v>
      </c>
      <c r="O1296" s="2"/>
      <c r="P1296" s="4">
        <v>2</v>
      </c>
      <c r="Q1296" s="2" t="s">
        <v>2980</v>
      </c>
      <c r="R1296" s="11">
        <f>SUBTOTAL(3,_xlfn.SINGLE(tbl_file[RowId]))</f>
        <v>1</v>
      </c>
    </row>
    <row r="1297" spans="10:18">
      <c r="J1297" s="4">
        <v>1092</v>
      </c>
      <c r="K1297" s="21" t="str">
        <f t="shared" si="36"/>
        <v>How to Create So Much They Can’t Ignore You</v>
      </c>
      <c r="L1297" s="20" t="s">
        <v>175</v>
      </c>
      <c r="M1297" s="4"/>
      <c r="N1297" s="2" t="s">
        <v>125</v>
      </c>
      <c r="O1297" s="2"/>
      <c r="P1297" s="4">
        <v>1</v>
      </c>
      <c r="Q1297" s="2" t="s">
        <v>1881</v>
      </c>
      <c r="R1297" s="11">
        <f>SUBTOTAL(3,_xlfn.SINGLE(tbl_file[RowId]))</f>
        <v>1</v>
      </c>
    </row>
    <row r="1298" spans="10:18">
      <c r="J1298" s="4">
        <v>1093</v>
      </c>
      <c r="K1298" s="21" t="str">
        <f t="shared" si="36"/>
        <v>How to Create So Much They Can’t Ignore You</v>
      </c>
      <c r="L1298" s="20" t="s">
        <v>175</v>
      </c>
      <c r="M1298" s="4"/>
      <c r="N1298" s="2" t="s">
        <v>127</v>
      </c>
      <c r="O1298" s="2"/>
      <c r="P1298" s="4">
        <v>1</v>
      </c>
      <c r="Q1298" s="2" t="s">
        <v>1968</v>
      </c>
      <c r="R1298" s="11">
        <f>SUBTOTAL(3,_xlfn.SINGLE(tbl_file[RowId]))</f>
        <v>1</v>
      </c>
    </row>
    <row r="1299" spans="10:18">
      <c r="J1299" s="4">
        <v>1094</v>
      </c>
      <c r="K1299" s="21" t="str">
        <f t="shared" si="36"/>
        <v>How to Create So Much They Can’t Ignore You</v>
      </c>
      <c r="L1299" s="20" t="s">
        <v>175</v>
      </c>
      <c r="M1299" s="4"/>
      <c r="N1299" s="2" t="s">
        <v>2606</v>
      </c>
      <c r="O1299" s="2"/>
      <c r="P1299" s="4">
        <v>4</v>
      </c>
      <c r="Q1299" s="2" t="s">
        <v>2981</v>
      </c>
      <c r="R1299" s="11">
        <f>SUBTOTAL(3,_xlfn.SINGLE(tbl_file[RowId]))</f>
        <v>1</v>
      </c>
    </row>
    <row r="1300" spans="10:18">
      <c r="J1300" s="4">
        <v>1095</v>
      </c>
      <c r="K1300" s="21" t="str">
        <f t="shared" si="36"/>
        <v>How to Create So Much They Can’t Ignore You</v>
      </c>
      <c r="L1300" s="20" t="s">
        <v>175</v>
      </c>
      <c r="M1300" s="4"/>
      <c r="N1300" s="2" t="s">
        <v>132</v>
      </c>
      <c r="O1300" s="2"/>
      <c r="P1300" s="4">
        <v>1</v>
      </c>
      <c r="Q1300" s="2" t="s">
        <v>2064</v>
      </c>
      <c r="R1300" s="11">
        <f>SUBTOTAL(3,_xlfn.SINGLE(tbl_file[RowId]))</f>
        <v>1</v>
      </c>
    </row>
    <row r="1301" spans="10:18">
      <c r="J1301" s="4">
        <v>1096</v>
      </c>
      <c r="K1301" s="21" t="str">
        <f t="shared" si="36"/>
        <v>How to Create So Much They Can’t Ignore You</v>
      </c>
      <c r="L1301" s="20" t="s">
        <v>175</v>
      </c>
      <c r="M1301" s="4"/>
      <c r="N1301" s="2" t="s">
        <v>137</v>
      </c>
      <c r="O1301" s="2"/>
      <c r="P1301" s="4">
        <v>1</v>
      </c>
      <c r="Q1301" s="2" t="s">
        <v>2167</v>
      </c>
      <c r="R1301" s="11">
        <f>SUBTOTAL(3,_xlfn.SINGLE(tbl_file[RowId]))</f>
        <v>1</v>
      </c>
    </row>
    <row r="1302" spans="10:18">
      <c r="J1302" s="4">
        <v>27</v>
      </c>
      <c r="K1302" s="21" t="str">
        <f t="shared" ref="K1302:K1307" si="37">HYPERLINK("obsidian://open?vault=o2&amp;file=How%20to%20Disable%20IPV6.md","How to Disable IPV6")</f>
        <v>How to Disable IPV6</v>
      </c>
      <c r="L1302" s="20" t="s">
        <v>175</v>
      </c>
      <c r="M1302" s="4"/>
      <c r="N1302" s="2" t="s">
        <v>13</v>
      </c>
      <c r="O1302" s="2"/>
      <c r="P1302" s="4">
        <v>1</v>
      </c>
      <c r="Q1302" s="2" t="s">
        <v>304</v>
      </c>
      <c r="R1302" s="11">
        <f>SUBTOTAL(3,_xlfn.SINGLE(tbl_file[RowId]))</f>
        <v>1</v>
      </c>
    </row>
    <row r="1303" spans="10:18">
      <c r="J1303" s="4">
        <v>28</v>
      </c>
      <c r="K1303" s="21" t="str">
        <f t="shared" si="37"/>
        <v>How to Disable IPV6</v>
      </c>
      <c r="L1303" s="20" t="s">
        <v>175</v>
      </c>
      <c r="M1303" s="4"/>
      <c r="N1303" s="2" t="s">
        <v>19</v>
      </c>
      <c r="O1303" s="2"/>
      <c r="P1303" s="4">
        <v>1</v>
      </c>
      <c r="Q1303" s="2" t="s">
        <v>389</v>
      </c>
      <c r="R1303" s="11">
        <f>SUBTOTAL(3,_xlfn.SINGLE(tbl_file[RowId]))</f>
        <v>1</v>
      </c>
    </row>
    <row r="1304" spans="10:18">
      <c r="J1304" s="4">
        <v>29</v>
      </c>
      <c r="K1304" s="21" t="str">
        <f t="shared" si="37"/>
        <v>How to Disable IPV6</v>
      </c>
      <c r="L1304" s="20" t="s">
        <v>175</v>
      </c>
      <c r="M1304" s="4"/>
      <c r="N1304" s="2" t="s">
        <v>125</v>
      </c>
      <c r="O1304" s="2"/>
      <c r="P1304" s="4">
        <v>1</v>
      </c>
      <c r="Q1304" s="2" t="s">
        <v>1907</v>
      </c>
      <c r="R1304" s="11">
        <f>SUBTOTAL(3,_xlfn.SINGLE(tbl_file[RowId]))</f>
        <v>1</v>
      </c>
    </row>
    <row r="1305" spans="10:18">
      <c r="J1305" s="4">
        <v>30</v>
      </c>
      <c r="K1305" s="21" t="str">
        <f t="shared" si="37"/>
        <v>How to Disable IPV6</v>
      </c>
      <c r="L1305" s="20" t="s">
        <v>175</v>
      </c>
      <c r="M1305" s="4"/>
      <c r="N1305" s="2" t="s">
        <v>127</v>
      </c>
      <c r="O1305" s="2"/>
      <c r="P1305" s="4">
        <v>1</v>
      </c>
      <c r="Q1305" s="2" t="s">
        <v>1960</v>
      </c>
      <c r="R1305" s="11">
        <f>SUBTOTAL(3,_xlfn.SINGLE(tbl_file[RowId]))</f>
        <v>1</v>
      </c>
    </row>
    <row r="1306" spans="10:18">
      <c r="J1306" s="4">
        <v>31</v>
      </c>
      <c r="K1306" s="21" t="str">
        <f t="shared" si="37"/>
        <v>How to Disable IPV6</v>
      </c>
      <c r="L1306" s="20" t="s">
        <v>175</v>
      </c>
      <c r="M1306" s="4"/>
      <c r="N1306" s="2" t="s">
        <v>2606</v>
      </c>
      <c r="O1306" s="2"/>
      <c r="P1306" s="4">
        <v>4</v>
      </c>
      <c r="Q1306" s="2" t="s">
        <v>2612</v>
      </c>
      <c r="R1306" s="11">
        <f>SUBTOTAL(3,_xlfn.SINGLE(tbl_file[RowId]))</f>
        <v>1</v>
      </c>
    </row>
    <row r="1307" spans="10:18">
      <c r="J1307" s="4">
        <v>32</v>
      </c>
      <c r="K1307" s="21" t="str">
        <f t="shared" si="37"/>
        <v>How to Disable IPV6</v>
      </c>
      <c r="L1307" s="20" t="s">
        <v>175</v>
      </c>
      <c r="M1307" s="4"/>
      <c r="N1307" s="2" t="s">
        <v>133</v>
      </c>
      <c r="O1307" s="2"/>
      <c r="P1307" s="4">
        <v>1</v>
      </c>
      <c r="Q1307" s="2" t="s">
        <v>2111</v>
      </c>
      <c r="R1307" s="11">
        <f>SUBTOTAL(3,_xlfn.SINGLE(tbl_file[RowId]))</f>
        <v>1</v>
      </c>
    </row>
    <row r="1308" spans="10:18">
      <c r="J1308" s="4">
        <v>1009</v>
      </c>
      <c r="K1308" s="21" t="str">
        <f>HYPERLINK("obsidian://open?vault=o2&amp;file=How%20To%20Enable%20Always-On%20Display%20On%20iPhone%20With%20This%20iOS%20Trick.md","How To Enable Always-On Display On iPhone With This iOS Trick")</f>
        <v>How To Enable Always-On Display On iPhone With This iOS Trick</v>
      </c>
      <c r="L1308" s="20" t="s">
        <v>175</v>
      </c>
      <c r="M1308" s="4"/>
      <c r="N1308" s="2" t="s">
        <v>33</v>
      </c>
      <c r="O1308" s="2"/>
      <c r="P1308" s="4">
        <v>1</v>
      </c>
      <c r="Q1308" s="2" t="s">
        <v>483</v>
      </c>
      <c r="R1308" s="11">
        <f>SUBTOTAL(3,_xlfn.SINGLE(tbl_file[RowId]))</f>
        <v>1</v>
      </c>
    </row>
    <row r="1309" spans="10:18">
      <c r="J1309" s="4">
        <v>1010</v>
      </c>
      <c r="K1309" s="21" t="str">
        <f>HYPERLINK("obsidian://open?vault=o2&amp;file=How%20To%20Enable%20Always-On%20Display%20On%20iPhone%20With%20This%20iOS%20Trick.md","How To Enable Always-On Display On iPhone With This iOS Trick")</f>
        <v>How To Enable Always-On Display On iPhone With This iOS Trick</v>
      </c>
      <c r="L1309" s="20" t="s">
        <v>175</v>
      </c>
      <c r="M1309" s="4"/>
      <c r="N1309" s="2" t="s">
        <v>46</v>
      </c>
      <c r="O1309" s="2"/>
      <c r="P1309" s="4">
        <v>1</v>
      </c>
      <c r="Q1309" s="2" t="s">
        <v>659</v>
      </c>
      <c r="R1309" s="11">
        <f>SUBTOTAL(3,_xlfn.SINGLE(tbl_file[RowId]))</f>
        <v>1</v>
      </c>
    </row>
    <row r="1310" spans="10:18">
      <c r="J1310" s="4">
        <v>1011</v>
      </c>
      <c r="K1310" s="21" t="str">
        <f>HYPERLINK("obsidian://open?vault=o2&amp;file=How%20To%20Enable%20Always-On%20Display%20On%20iPhone%20With%20This%20iOS%20Trick.md","How To Enable Always-On Display On iPhone With This iOS Trick")</f>
        <v>How To Enable Always-On Display On iPhone With This iOS Trick</v>
      </c>
      <c r="L1310" s="20" t="s">
        <v>175</v>
      </c>
      <c r="M1310" s="4"/>
      <c r="N1310" s="2" t="s">
        <v>132</v>
      </c>
      <c r="O1310" s="2"/>
      <c r="P1310" s="4">
        <v>1</v>
      </c>
      <c r="Q1310" s="2" t="s">
        <v>2059</v>
      </c>
      <c r="R1310" s="11">
        <f>SUBTOTAL(3,_xlfn.SINGLE(tbl_file[RowId]))</f>
        <v>1</v>
      </c>
    </row>
    <row r="1311" spans="10:18">
      <c r="J1311" s="4">
        <v>1012</v>
      </c>
      <c r="K1311" s="21" t="str">
        <f>HYPERLINK("obsidian://open?vault=o2&amp;file=How%20To%20Enable%20Always-On%20Display%20On%20iPhone%20With%20This%20iOS%20Trick.md","How To Enable Always-On Display On iPhone With This iOS Trick")</f>
        <v>How To Enable Always-On Display On iPhone With This iOS Trick</v>
      </c>
      <c r="L1311" s="20" t="s">
        <v>175</v>
      </c>
      <c r="M1311" s="4"/>
      <c r="N1311" s="2" t="s">
        <v>137</v>
      </c>
      <c r="O1311" s="2"/>
      <c r="P1311" s="4">
        <v>1</v>
      </c>
      <c r="Q1311" s="2" t="s">
        <v>2185</v>
      </c>
      <c r="R1311" s="11">
        <f>SUBTOTAL(3,_xlfn.SINGLE(tbl_file[RowId]))</f>
        <v>1</v>
      </c>
    </row>
    <row r="1312" spans="10:18">
      <c r="J1312" s="4">
        <v>1013</v>
      </c>
      <c r="K1312" s="21" t="str">
        <f>HYPERLINK("obsidian://open?vault=o2&amp;file=How%20To%20Enable%20Always-On%20Display%20On%20iPhone%20With%20This%20iOS%20Trick.md","How To Enable Always-On Display On iPhone With This iOS Trick")</f>
        <v>How To Enable Always-On Display On iPhone With This iOS Trick</v>
      </c>
      <c r="L1312" s="20" t="s">
        <v>175</v>
      </c>
      <c r="M1312" s="4" t="s">
        <v>2626</v>
      </c>
      <c r="N1312" s="2" t="s">
        <v>2606</v>
      </c>
      <c r="O1312" s="2"/>
      <c r="P1312" s="4">
        <v>1</v>
      </c>
      <c r="Q1312" s="2" t="s">
        <v>2537</v>
      </c>
      <c r="R1312" s="11">
        <f>SUBTOTAL(3,_xlfn.SINGLE(tbl_file[RowId]))</f>
        <v>1</v>
      </c>
    </row>
    <row r="1313" spans="10:18">
      <c r="J1313" s="4">
        <v>630</v>
      </c>
      <c r="K1313" s="21" t="str">
        <f t="shared" ref="K1313:K1323" si="38">HYPERLINK("obsidian://open?vault=o2&amp;file=How%20To%20Hide%20Wires%20Behind%20Wall%20-%20NO%20DRYWALL%20REPAIR%20NEEDED%20Hiding%20Wires.md","How To Hide Wires Behind Wall - NO DRYWALL REPAIR NEEDED Hiding Wires")</f>
        <v>How To Hide Wires Behind Wall - NO DRYWALL REPAIR NEEDED Hiding Wires</v>
      </c>
      <c r="L1313" s="20" t="s">
        <v>175</v>
      </c>
      <c r="M1313" s="4"/>
      <c r="N1313" s="2" t="s">
        <v>11</v>
      </c>
      <c r="O1313" s="2"/>
      <c r="P1313" s="4">
        <v>1</v>
      </c>
      <c r="Q1313" s="2" t="s">
        <v>210</v>
      </c>
      <c r="R1313" s="11">
        <f>SUBTOTAL(3,_xlfn.SINGLE(tbl_file[RowId]))</f>
        <v>1</v>
      </c>
    </row>
    <row r="1314" spans="10:18">
      <c r="J1314" s="4">
        <v>631</v>
      </c>
      <c r="K1314" s="21" t="str">
        <f t="shared" si="38"/>
        <v>How To Hide Wires Behind Wall - NO DRYWALL REPAIR NEEDED Hiding Wires</v>
      </c>
      <c r="L1314" s="20" t="s">
        <v>175</v>
      </c>
      <c r="M1314" s="4"/>
      <c r="N1314" s="2" t="s">
        <v>13</v>
      </c>
      <c r="O1314" s="2"/>
      <c r="P1314" s="4">
        <v>1</v>
      </c>
      <c r="Q1314" s="2" t="s">
        <v>288</v>
      </c>
      <c r="R1314" s="11">
        <f>SUBTOTAL(3,_xlfn.SINGLE(tbl_file[RowId]))</f>
        <v>1</v>
      </c>
    </row>
    <row r="1315" spans="10:18">
      <c r="J1315" s="4">
        <v>632</v>
      </c>
      <c r="K1315" s="21" t="str">
        <f t="shared" si="38"/>
        <v>How To Hide Wires Behind Wall - NO DRYWALL REPAIR NEEDED Hiding Wires</v>
      </c>
      <c r="L1315" s="20" t="s">
        <v>175</v>
      </c>
      <c r="M1315" s="4"/>
      <c r="N1315" s="2" t="s">
        <v>16</v>
      </c>
      <c r="O1315" s="2"/>
      <c r="P1315" s="4">
        <v>1</v>
      </c>
      <c r="Q1315" s="2" t="s">
        <v>288</v>
      </c>
      <c r="R1315" s="11">
        <f>SUBTOTAL(3,_xlfn.SINGLE(tbl_file[RowId]))</f>
        <v>1</v>
      </c>
    </row>
    <row r="1316" spans="10:18">
      <c r="J1316" s="4">
        <v>633</v>
      </c>
      <c r="K1316" s="21" t="str">
        <f t="shared" si="38"/>
        <v>How To Hide Wires Behind Wall - NO DRYWALL REPAIR NEEDED Hiding Wires</v>
      </c>
      <c r="L1316" s="20" t="s">
        <v>175</v>
      </c>
      <c r="M1316" s="4"/>
      <c r="N1316" s="2" t="s">
        <v>37</v>
      </c>
      <c r="O1316" s="2"/>
      <c r="P1316" s="4">
        <v>1</v>
      </c>
      <c r="Q1316" s="2" t="s">
        <v>595</v>
      </c>
      <c r="R1316" s="11">
        <f>SUBTOTAL(3,_xlfn.SINGLE(tbl_file[RowId]))</f>
        <v>1</v>
      </c>
    </row>
    <row r="1317" spans="10:18">
      <c r="J1317" s="4">
        <v>634</v>
      </c>
      <c r="K1317" s="21" t="str">
        <f t="shared" si="38"/>
        <v>How To Hide Wires Behind Wall - NO DRYWALL REPAIR NEEDED Hiding Wires</v>
      </c>
      <c r="L1317" s="20" t="s">
        <v>175</v>
      </c>
      <c r="M1317" s="4"/>
      <c r="N1317" s="2" t="s">
        <v>48</v>
      </c>
      <c r="O1317" s="2"/>
      <c r="P1317" s="4">
        <v>19</v>
      </c>
      <c r="Q1317" s="2" t="s">
        <v>2736</v>
      </c>
      <c r="R1317" s="11">
        <f>SUBTOTAL(3,_xlfn.SINGLE(tbl_file[RowId]))</f>
        <v>1</v>
      </c>
    </row>
    <row r="1318" spans="10:18">
      <c r="J1318" s="4">
        <v>635</v>
      </c>
      <c r="K1318" s="21" t="str">
        <f t="shared" si="38"/>
        <v>How To Hide Wires Behind Wall - NO DRYWALL REPAIR NEEDED Hiding Wires</v>
      </c>
      <c r="L1318" s="20" t="s">
        <v>175</v>
      </c>
      <c r="M1318" s="4"/>
      <c r="N1318" s="2" t="s">
        <v>119</v>
      </c>
      <c r="O1318" s="2"/>
      <c r="P1318" s="4">
        <v>1</v>
      </c>
      <c r="Q1318" s="2" t="s">
        <v>2737</v>
      </c>
      <c r="R1318" s="11">
        <f>SUBTOTAL(3,_xlfn.SINGLE(tbl_file[RowId]))</f>
        <v>1</v>
      </c>
    </row>
    <row r="1319" spans="10:18">
      <c r="J1319" s="4">
        <v>636</v>
      </c>
      <c r="K1319" s="21" t="str">
        <f t="shared" si="38"/>
        <v>How To Hide Wires Behind Wall - NO DRYWALL REPAIR NEEDED Hiding Wires</v>
      </c>
      <c r="L1319" s="20" t="s">
        <v>175</v>
      </c>
      <c r="M1319" s="4"/>
      <c r="N1319" s="2" t="s">
        <v>126</v>
      </c>
      <c r="O1319" s="2"/>
      <c r="P1319" s="4">
        <v>1</v>
      </c>
      <c r="Q1319" s="2" t="s">
        <v>2719</v>
      </c>
      <c r="R1319" s="11">
        <f>SUBTOTAL(3,_xlfn.SINGLE(tbl_file[RowId]))</f>
        <v>1</v>
      </c>
    </row>
    <row r="1320" spans="10:18">
      <c r="J1320" s="4">
        <v>637</v>
      </c>
      <c r="K1320" s="21" t="str">
        <f t="shared" si="38"/>
        <v>How To Hide Wires Behind Wall - NO DRYWALL REPAIR NEEDED Hiding Wires</v>
      </c>
      <c r="L1320" s="20" t="s">
        <v>175</v>
      </c>
      <c r="M1320" s="4"/>
      <c r="N1320" s="2" t="s">
        <v>2606</v>
      </c>
      <c r="O1320" s="2"/>
      <c r="P1320" s="4">
        <v>1</v>
      </c>
      <c r="Q1320" s="2" t="s">
        <v>2377</v>
      </c>
      <c r="R1320" s="11">
        <f>SUBTOTAL(3,_xlfn.SINGLE(tbl_file[RowId]))</f>
        <v>1</v>
      </c>
    </row>
    <row r="1321" spans="10:18">
      <c r="J1321" s="4">
        <v>638</v>
      </c>
      <c r="K1321" s="21" t="str">
        <f t="shared" si="38"/>
        <v>How To Hide Wires Behind Wall - NO DRYWALL REPAIR NEEDED Hiding Wires</v>
      </c>
      <c r="L1321" s="20" t="s">
        <v>175</v>
      </c>
      <c r="M1321" s="4"/>
      <c r="N1321" s="2" t="s">
        <v>131</v>
      </c>
      <c r="O1321" s="2"/>
      <c r="P1321" s="4">
        <v>1</v>
      </c>
      <c r="Q1321" s="2" t="s">
        <v>1999</v>
      </c>
      <c r="R1321" s="11">
        <f>SUBTOTAL(3,_xlfn.SINGLE(tbl_file[RowId]))</f>
        <v>1</v>
      </c>
    </row>
    <row r="1322" spans="10:18">
      <c r="J1322" s="4">
        <v>639</v>
      </c>
      <c r="K1322" s="21" t="str">
        <f t="shared" si="38"/>
        <v>How To Hide Wires Behind Wall - NO DRYWALL REPAIR NEEDED Hiding Wires</v>
      </c>
      <c r="L1322" s="20" t="s">
        <v>175</v>
      </c>
      <c r="M1322" s="4"/>
      <c r="N1322" s="2" t="s">
        <v>132</v>
      </c>
      <c r="O1322" s="2"/>
      <c r="P1322" s="4">
        <v>1</v>
      </c>
      <c r="Q1322" s="2" t="s">
        <v>210</v>
      </c>
      <c r="R1322" s="11">
        <f>SUBTOTAL(3,_xlfn.SINGLE(tbl_file[RowId]))</f>
        <v>1</v>
      </c>
    </row>
    <row r="1323" spans="10:18">
      <c r="J1323" s="4">
        <v>640</v>
      </c>
      <c r="K1323" s="21" t="str">
        <f t="shared" si="38"/>
        <v>How To Hide Wires Behind Wall - NO DRYWALL REPAIR NEEDED Hiding Wires</v>
      </c>
      <c r="L1323" s="20" t="s">
        <v>175</v>
      </c>
      <c r="M1323" s="4"/>
      <c r="N1323" s="2" t="s">
        <v>137</v>
      </c>
      <c r="O1323" s="2"/>
      <c r="P1323" s="4">
        <v>1</v>
      </c>
      <c r="Q1323" s="2" t="s">
        <v>2229</v>
      </c>
      <c r="R1323" s="11">
        <f>SUBTOTAL(3,_xlfn.SINGLE(tbl_file[RowId]))</f>
        <v>1</v>
      </c>
    </row>
    <row r="1324" spans="10:18">
      <c r="J1324" s="4">
        <v>1292</v>
      </c>
      <c r="K1324" s="21" t="str">
        <f>HYPERLINK("obsidian://open?vault=o2&amp;file=How%20to%20Kill%20Ants%20Using%20Borax.md","How to Kill Ants Using Borax")</f>
        <v>How to Kill Ants Using Borax</v>
      </c>
      <c r="L1324" s="20" t="s">
        <v>175</v>
      </c>
      <c r="M1324" s="4"/>
      <c r="N1324" s="2" t="s">
        <v>2606</v>
      </c>
      <c r="O1324" s="2"/>
      <c r="P1324" s="4">
        <v>1</v>
      </c>
      <c r="Q1324" s="2" t="s">
        <v>2317</v>
      </c>
      <c r="R1324" s="11">
        <f>SUBTOTAL(3,_xlfn.SINGLE(tbl_file[RowId]))</f>
        <v>1</v>
      </c>
    </row>
    <row r="1325" spans="10:18">
      <c r="J1325" s="4">
        <v>1014</v>
      </c>
      <c r="K1325" s="21" t="str">
        <f t="shared" ref="K1325:K1331" si="39">HYPERLINK("obsidian://open?vault=o2&amp;file=How%20to%20Make%20Changes%20to%20Multiple%20Files%20Using%20Python%20%20Envato%20Tuts%2B.md","How to Make Changes to Multiple Files Using Python  Envato Tuts+")</f>
        <v>How to Make Changes to Multiple Files Using Python  Envato Tuts+</v>
      </c>
      <c r="L1325" s="20" t="s">
        <v>175</v>
      </c>
      <c r="M1325" s="4"/>
      <c r="N1325" s="2" t="s">
        <v>33</v>
      </c>
      <c r="O1325" s="2"/>
      <c r="P1325" s="4">
        <v>1</v>
      </c>
      <c r="Q1325" s="2" t="s">
        <v>485</v>
      </c>
      <c r="R1325" s="11">
        <f>SUBTOTAL(3,_xlfn.SINGLE(tbl_file[RowId]))</f>
        <v>1</v>
      </c>
    </row>
    <row r="1326" spans="10:18">
      <c r="J1326" s="4">
        <v>1015</v>
      </c>
      <c r="K1326" s="21" t="str">
        <f t="shared" si="39"/>
        <v>How to Make Changes to Multiple Files Using Python  Envato Tuts+</v>
      </c>
      <c r="L1326" s="20" t="s">
        <v>175</v>
      </c>
      <c r="M1326" s="4"/>
      <c r="N1326" s="2" t="s">
        <v>46</v>
      </c>
      <c r="O1326" s="2"/>
      <c r="P1326" s="4">
        <v>1</v>
      </c>
      <c r="Q1326" s="2" t="s">
        <v>661</v>
      </c>
      <c r="R1326" s="11">
        <f>SUBTOTAL(3,_xlfn.SINGLE(tbl_file[RowId]))</f>
        <v>1</v>
      </c>
    </row>
    <row r="1327" spans="10:18">
      <c r="J1327" s="4">
        <v>1016</v>
      </c>
      <c r="K1327" s="21" t="str">
        <f t="shared" si="39"/>
        <v>How to Make Changes to Multiple Files Using Python  Envato Tuts+</v>
      </c>
      <c r="L1327" s="20" t="s">
        <v>175</v>
      </c>
      <c r="M1327" s="4"/>
      <c r="N1327" s="2" t="s">
        <v>50</v>
      </c>
      <c r="O1327" s="2"/>
      <c r="P1327" s="4">
        <v>1</v>
      </c>
      <c r="Q1327" s="2" t="s">
        <v>1682</v>
      </c>
      <c r="R1327" s="11">
        <f>SUBTOTAL(3,_xlfn.SINGLE(tbl_file[RowId]))</f>
        <v>1</v>
      </c>
    </row>
    <row r="1328" spans="10:18">
      <c r="J1328" s="4">
        <v>1017</v>
      </c>
      <c r="K1328" s="21" t="str">
        <f t="shared" si="39"/>
        <v>How to Make Changes to Multiple Files Using Python  Envato Tuts+</v>
      </c>
      <c r="L1328" s="20" t="s">
        <v>175</v>
      </c>
      <c r="M1328" s="4"/>
      <c r="N1328" s="2" t="s">
        <v>121</v>
      </c>
      <c r="O1328" s="2"/>
      <c r="P1328" s="4">
        <v>1</v>
      </c>
      <c r="Q1328" s="2" t="s">
        <v>1842</v>
      </c>
      <c r="R1328" s="11">
        <f>SUBTOTAL(3,_xlfn.SINGLE(tbl_file[RowId]))</f>
        <v>1</v>
      </c>
    </row>
    <row r="1329" spans="10:18">
      <c r="J1329" s="4">
        <v>1018</v>
      </c>
      <c r="K1329" s="21" t="str">
        <f t="shared" si="39"/>
        <v>How to Make Changes to Multiple Files Using Python  Envato Tuts+</v>
      </c>
      <c r="L1329" s="20" t="s">
        <v>175</v>
      </c>
      <c r="M1329" s="4"/>
      <c r="N1329" s="2" t="s">
        <v>2606</v>
      </c>
      <c r="O1329" s="2"/>
      <c r="P1329" s="4">
        <v>2</v>
      </c>
      <c r="Q1329" s="2" t="s">
        <v>2973</v>
      </c>
      <c r="R1329" s="11">
        <f>SUBTOTAL(3,_xlfn.SINGLE(tbl_file[RowId]))</f>
        <v>1</v>
      </c>
    </row>
    <row r="1330" spans="10:18">
      <c r="J1330" s="4">
        <v>1019</v>
      </c>
      <c r="K1330" s="21" t="str">
        <f t="shared" si="39"/>
        <v>How to Make Changes to Multiple Files Using Python  Envato Tuts+</v>
      </c>
      <c r="L1330" s="20" t="s">
        <v>175</v>
      </c>
      <c r="M1330" s="4"/>
      <c r="N1330" s="2" t="s">
        <v>132</v>
      </c>
      <c r="O1330" s="2"/>
      <c r="P1330" s="4">
        <v>1</v>
      </c>
      <c r="Q1330" s="2" t="s">
        <v>2066</v>
      </c>
      <c r="R1330" s="11">
        <f>SUBTOTAL(3,_xlfn.SINGLE(tbl_file[RowId]))</f>
        <v>1</v>
      </c>
    </row>
    <row r="1331" spans="10:18">
      <c r="J1331" s="4">
        <v>1020</v>
      </c>
      <c r="K1331" s="21" t="str">
        <f t="shared" si="39"/>
        <v>How to Make Changes to Multiple Files Using Python  Envato Tuts+</v>
      </c>
      <c r="L1331" s="20" t="s">
        <v>175</v>
      </c>
      <c r="M1331" s="4"/>
      <c r="N1331" s="2" t="s">
        <v>137</v>
      </c>
      <c r="O1331" s="2"/>
      <c r="P1331" s="4">
        <v>1</v>
      </c>
      <c r="Q1331" s="2" t="s">
        <v>2153</v>
      </c>
      <c r="R1331" s="11">
        <f>SUBTOTAL(3,_xlfn.SINGLE(tbl_file[RowId]))</f>
        <v>1</v>
      </c>
    </row>
    <row r="1332" spans="10:18">
      <c r="J1332" s="4">
        <v>33</v>
      </c>
      <c r="K1332" s="21" t="str">
        <f>HYPERLINK("obsidian://open?vault=o2&amp;file=How%20to%20open%20an%20ssh%20powershell%20into%20CASAOS.md","How to open an ssh powershell into CASAOS")</f>
        <v>How to open an ssh powershell into CASAOS</v>
      </c>
      <c r="L1332" s="20" t="s">
        <v>175</v>
      </c>
      <c r="M1332" s="4"/>
      <c r="N1332" s="2" t="s">
        <v>50</v>
      </c>
      <c r="O1332" s="2"/>
      <c r="P1332" s="4">
        <v>1</v>
      </c>
      <c r="Q1332" s="2" t="s">
        <v>1572</v>
      </c>
      <c r="R1332" s="11">
        <f>SUBTOTAL(3,_xlfn.SINGLE(tbl_file[RowId]))</f>
        <v>1</v>
      </c>
    </row>
    <row r="1333" spans="10:18">
      <c r="J1333" s="4">
        <v>34</v>
      </c>
      <c r="K1333" s="21" t="str">
        <f>HYPERLINK("obsidian://open?vault=o2&amp;file=How%20to%20open%20an%20ssh%20powershell%20into%20CASAOS.md","How to open an ssh powershell into CASAOS")</f>
        <v>How to open an ssh powershell into CASAOS</v>
      </c>
      <c r="L1333" s="20" t="s">
        <v>175</v>
      </c>
      <c r="M1333" s="4"/>
      <c r="N1333" s="2" t="s">
        <v>127</v>
      </c>
      <c r="O1333" s="2"/>
      <c r="P1333" s="4">
        <v>1</v>
      </c>
      <c r="Q1333" s="2" t="s">
        <v>1958</v>
      </c>
      <c r="R1333" s="11">
        <f>SUBTOTAL(3,_xlfn.SINGLE(tbl_file[RowId]))</f>
        <v>1</v>
      </c>
    </row>
    <row r="1334" spans="10:18">
      <c r="J1334" s="4">
        <v>35</v>
      </c>
      <c r="K1334" s="21" t="str">
        <f>HYPERLINK("obsidian://open?vault=o2&amp;file=How%20to%20open%20an%20ssh%20powershell%20into%20CASAOS.md","How to open an ssh powershell into CASAOS")</f>
        <v>How to open an ssh powershell into CASAOS</v>
      </c>
      <c r="L1334" s="20" t="s">
        <v>175</v>
      </c>
      <c r="M1334" s="4"/>
      <c r="N1334" s="2" t="s">
        <v>2606</v>
      </c>
      <c r="O1334" s="2"/>
      <c r="P1334" s="4">
        <v>3</v>
      </c>
      <c r="Q1334" s="2" t="s">
        <v>2613</v>
      </c>
      <c r="R1334" s="11">
        <f>SUBTOTAL(3,_xlfn.SINGLE(tbl_file[RowId]))</f>
        <v>1</v>
      </c>
    </row>
    <row r="1335" spans="10:18">
      <c r="J1335" s="4">
        <v>36</v>
      </c>
      <c r="K1335" s="21" t="str">
        <f>HYPERLINK("obsidian://open?vault=o2&amp;file=How%20to%20open%20an%20ssh%20powershell%20into%20CASAOS.md","How to open an ssh powershell into CASAOS")</f>
        <v>How to open an ssh powershell into CASAOS</v>
      </c>
      <c r="L1335" s="20" t="s">
        <v>175</v>
      </c>
      <c r="M1335" s="4"/>
      <c r="N1335" s="2" t="s">
        <v>133</v>
      </c>
      <c r="O1335" s="2"/>
      <c r="P1335" s="4">
        <v>1</v>
      </c>
      <c r="Q1335" s="2" t="s">
        <v>2614</v>
      </c>
      <c r="R1335" s="11">
        <f>SUBTOTAL(3,_xlfn.SINGLE(tbl_file[RowId]))</f>
        <v>1</v>
      </c>
    </row>
    <row r="1336" spans="10:18">
      <c r="J1336" s="4">
        <v>1151</v>
      </c>
      <c r="K1336" s="21" t="str">
        <f>HYPERLINK("obsidian://open?vault=o2&amp;file=How%20to%20Re-Install%20a%20Vault.md","How to Re-Install a Vault")</f>
        <v>How to Re-Install a Vault</v>
      </c>
      <c r="L1336" s="20" t="s">
        <v>175</v>
      </c>
      <c r="M1336" s="4"/>
      <c r="N1336" s="2" t="s">
        <v>50</v>
      </c>
      <c r="O1336" s="2"/>
      <c r="P1336" s="4">
        <v>1</v>
      </c>
      <c r="Q1336" s="2" t="s">
        <v>1633</v>
      </c>
      <c r="R1336" s="11">
        <f>SUBTOTAL(3,_xlfn.SINGLE(tbl_file[RowId]))</f>
        <v>1</v>
      </c>
    </row>
    <row r="1337" spans="10:18">
      <c r="J1337" s="4">
        <v>1152</v>
      </c>
      <c r="K1337" s="21" t="str">
        <f>HYPERLINK("obsidian://open?vault=o2&amp;file=How%20to%20Re-Install%20a%20Vault.md","How to Re-Install a Vault")</f>
        <v>How to Re-Install a Vault</v>
      </c>
      <c r="L1337" s="20" t="s">
        <v>175</v>
      </c>
      <c r="M1337" s="4"/>
      <c r="N1337" s="2" t="s">
        <v>127</v>
      </c>
      <c r="O1337" s="2"/>
      <c r="P1337" s="4">
        <v>1</v>
      </c>
      <c r="Q1337" s="2" t="s">
        <v>1958</v>
      </c>
      <c r="R1337" s="11">
        <f>SUBTOTAL(3,_xlfn.SINGLE(tbl_file[RowId]))</f>
        <v>1</v>
      </c>
    </row>
    <row r="1338" spans="10:18">
      <c r="J1338" s="4">
        <v>1153</v>
      </c>
      <c r="K1338" s="21" t="str">
        <f>HYPERLINK("obsidian://open?vault=o2&amp;file=How%20to%20Re-Install%20a%20Vault.md","How to Re-Install a Vault")</f>
        <v>How to Re-Install a Vault</v>
      </c>
      <c r="L1338" s="20" t="s">
        <v>175</v>
      </c>
      <c r="M1338" s="4"/>
      <c r="N1338" s="2" t="s">
        <v>2606</v>
      </c>
      <c r="O1338" s="2"/>
      <c r="P1338" s="4">
        <v>4</v>
      </c>
      <c r="Q1338" s="2" t="s">
        <v>2642</v>
      </c>
      <c r="R1338" s="11">
        <f>SUBTOTAL(3,_xlfn.SINGLE(tbl_file[RowId]))</f>
        <v>1</v>
      </c>
    </row>
    <row r="1339" spans="10:18">
      <c r="J1339" s="4">
        <v>1154</v>
      </c>
      <c r="K1339" s="21" t="str">
        <f>HYPERLINK("obsidian://open?vault=o2&amp;file=How%20to%20Re-Install%20a%20Vault.md","How to Re-Install a Vault")</f>
        <v>How to Re-Install a Vault</v>
      </c>
      <c r="L1339" s="20" t="s">
        <v>175</v>
      </c>
      <c r="M1339" s="4"/>
      <c r="N1339" s="2" t="s">
        <v>133</v>
      </c>
      <c r="O1339" s="2"/>
      <c r="P1339" s="4">
        <v>1</v>
      </c>
      <c r="Q1339" s="2" t="s">
        <v>2614</v>
      </c>
      <c r="R1339" s="11">
        <f>SUBTOTAL(3,_xlfn.SINGLE(tbl_file[RowId]))</f>
        <v>1</v>
      </c>
    </row>
    <row r="1340" spans="10:18">
      <c r="J1340" s="4">
        <v>166</v>
      </c>
      <c r="K1340" s="21" t="str">
        <f>HYPERLINK("obsidian://open?vault=o2&amp;file=How%20to%20Sell%20A%20House.md","How to Sell A House")</f>
        <v>How to Sell A House</v>
      </c>
      <c r="L1340" s="20" t="s">
        <v>175</v>
      </c>
      <c r="M1340" s="4"/>
      <c r="N1340" s="2" t="s">
        <v>50</v>
      </c>
      <c r="O1340" s="2"/>
      <c r="P1340" s="4">
        <v>2</v>
      </c>
      <c r="Q1340" s="2" t="s">
        <v>2640</v>
      </c>
      <c r="R1340" s="11">
        <f>SUBTOTAL(3,_xlfn.SINGLE(tbl_file[RowId]))</f>
        <v>1</v>
      </c>
    </row>
    <row r="1341" spans="10:18">
      <c r="J1341" s="4">
        <v>167</v>
      </c>
      <c r="K1341" s="21" t="str">
        <f>HYPERLINK("obsidian://open?vault=o2&amp;file=How%20to%20Sell%20A%20House.md","How to Sell A House")</f>
        <v>How to Sell A House</v>
      </c>
      <c r="L1341" s="20" t="s">
        <v>175</v>
      </c>
      <c r="M1341" s="4"/>
      <c r="N1341" s="2" t="s">
        <v>2606</v>
      </c>
      <c r="O1341" s="2"/>
      <c r="P1341" s="4">
        <v>3</v>
      </c>
      <c r="Q1341" s="2" t="s">
        <v>2641</v>
      </c>
      <c r="R1341" s="11">
        <f>SUBTOTAL(3,_xlfn.SINGLE(tbl_file[RowId]))</f>
        <v>1</v>
      </c>
    </row>
    <row r="1342" spans="10:18">
      <c r="J1342" s="4">
        <v>1067</v>
      </c>
      <c r="K1342" s="21" t="str">
        <f>HYPERLINK("obsidian://open?vault=o2&amp;file=How%20to%20text%20from%20your%20PC%20if%20you%20have%20an%20iPhone.md","How to text from your PC if you have an iPhone")</f>
        <v>How to text from your PC if you have an iPhone</v>
      </c>
      <c r="L1342" s="20" t="s">
        <v>175</v>
      </c>
      <c r="M1342" s="4"/>
      <c r="N1342" s="2" t="s">
        <v>13</v>
      </c>
      <c r="O1342" s="2"/>
      <c r="P1342" s="4">
        <v>1</v>
      </c>
      <c r="Q1342" s="2" t="s">
        <v>278</v>
      </c>
      <c r="R1342" s="11">
        <f>SUBTOTAL(3,_xlfn.SINGLE(tbl_file[RowId]))</f>
        <v>1</v>
      </c>
    </row>
    <row r="1343" spans="10:18">
      <c r="J1343" s="4">
        <v>1068</v>
      </c>
      <c r="K1343" s="21" t="str">
        <f>HYPERLINK("obsidian://open?vault=o2&amp;file=How%20to%20text%20from%20your%20PC%20if%20you%20have%20an%20iPhone.md","How to text from your PC if you have an iPhone")</f>
        <v>How to text from your PC if you have an iPhone</v>
      </c>
      <c r="L1343" s="20" t="s">
        <v>175</v>
      </c>
      <c r="M1343" s="4"/>
      <c r="N1343" s="2" t="s">
        <v>19</v>
      </c>
      <c r="O1343" s="2"/>
      <c r="P1343" s="4">
        <v>1</v>
      </c>
      <c r="Q1343" s="2" t="s">
        <v>402</v>
      </c>
      <c r="R1343" s="11">
        <f>SUBTOTAL(3,_xlfn.SINGLE(tbl_file[RowId]))</f>
        <v>1</v>
      </c>
    </row>
    <row r="1344" spans="10:18">
      <c r="J1344" s="4">
        <v>1069</v>
      </c>
      <c r="K1344" s="21" t="str">
        <f>HYPERLINK("obsidian://open?vault=o2&amp;file=How%20to%20text%20from%20your%20PC%20if%20you%20have%20an%20iPhone.md","How to text from your PC if you have an iPhone")</f>
        <v>How to text from your PC if you have an iPhone</v>
      </c>
      <c r="L1344" s="20" t="s">
        <v>175</v>
      </c>
      <c r="M1344" s="4"/>
      <c r="N1344" s="2" t="s">
        <v>125</v>
      </c>
      <c r="O1344" s="2"/>
      <c r="P1344" s="4">
        <v>1</v>
      </c>
      <c r="Q1344" s="2" t="s">
        <v>1911</v>
      </c>
      <c r="R1344" s="11">
        <f>SUBTOTAL(3,_xlfn.SINGLE(tbl_file[RowId]))</f>
        <v>1</v>
      </c>
    </row>
    <row r="1345" spans="10:18">
      <c r="J1345" s="4">
        <v>1070</v>
      </c>
      <c r="K1345" s="21" t="str">
        <f>HYPERLINK("obsidian://open?vault=o2&amp;file=How%20to%20text%20from%20your%20PC%20if%20you%20have%20an%20iPhone.md","How to text from your PC if you have an iPhone")</f>
        <v>How to text from your PC if you have an iPhone</v>
      </c>
      <c r="L1345" s="20" t="s">
        <v>175</v>
      </c>
      <c r="M1345" s="4"/>
      <c r="N1345" s="2" t="s">
        <v>2606</v>
      </c>
      <c r="O1345" s="2"/>
      <c r="P1345" s="4">
        <v>1</v>
      </c>
      <c r="Q1345" s="2" t="s">
        <v>2537</v>
      </c>
      <c r="R1345" s="11">
        <f>SUBTOTAL(3,_xlfn.SINGLE(tbl_file[RowId]))</f>
        <v>1</v>
      </c>
    </row>
    <row r="1346" spans="10:18">
      <c r="J1346" s="4">
        <v>1071</v>
      </c>
      <c r="K1346" s="21" t="str">
        <f>HYPERLINK("obsidian://open?vault=o2&amp;file=How%20to%20text%20from%20your%20PC%20if%20you%20have%20an%20iPhone.md","How to text from your PC if you have an iPhone")</f>
        <v>How to text from your PC if you have an iPhone</v>
      </c>
      <c r="L1346" s="20" t="s">
        <v>175</v>
      </c>
      <c r="M1346" s="4" t="s">
        <v>2626</v>
      </c>
      <c r="N1346" s="2" t="s">
        <v>2606</v>
      </c>
      <c r="O1346" s="2"/>
      <c r="P1346" s="4">
        <v>3</v>
      </c>
      <c r="Q1346" s="2" t="s">
        <v>2979</v>
      </c>
      <c r="R1346" s="11">
        <f>SUBTOTAL(3,_xlfn.SINGLE(tbl_file[RowId]))</f>
        <v>1</v>
      </c>
    </row>
    <row r="1347" spans="10:18">
      <c r="J1347" s="4">
        <v>2028</v>
      </c>
      <c r="K1347" s="21" t="str">
        <f>HYPERLINK("obsidian://open?vault=o2&amp;file=How%20to%20use%20this%20vault.md","How to use this vault")</f>
        <v>How to use this vault</v>
      </c>
      <c r="L1347" s="20" t="s">
        <v>175</v>
      </c>
      <c r="M1347" s="4"/>
      <c r="N1347" s="2" t="s">
        <v>50</v>
      </c>
      <c r="O1347" s="2"/>
      <c r="P1347" s="4">
        <v>1</v>
      </c>
      <c r="Q1347" s="2" t="s">
        <v>1466</v>
      </c>
      <c r="R1347" s="11">
        <f>SUBTOTAL(3,_xlfn.SINGLE(tbl_file[RowId]))</f>
        <v>1</v>
      </c>
    </row>
    <row r="1348" spans="10:18">
      <c r="J1348" s="4">
        <v>756</v>
      </c>
      <c r="K1348" s="21" t="str">
        <f t="shared" ref="K1348:K1378" si="40">HYPERLINK("obsidian://open?vault=o2&amp;file=i.md","i")</f>
        <v>i</v>
      </c>
      <c r="L1348" s="20" t="s">
        <v>175</v>
      </c>
      <c r="M1348" s="4"/>
      <c r="N1348" s="2" t="s">
        <v>2769</v>
      </c>
      <c r="O1348" s="2" t="s">
        <v>2770</v>
      </c>
      <c r="P1348" s="4">
        <v>1</v>
      </c>
      <c r="Q1348" s="2" t="s">
        <v>2771</v>
      </c>
      <c r="R1348" s="11">
        <f>SUBTOTAL(3,_xlfn.SINGLE(tbl_file[RowId]))</f>
        <v>1</v>
      </c>
    </row>
    <row r="1349" spans="10:18">
      <c r="J1349" s="4">
        <v>757</v>
      </c>
      <c r="K1349" s="21" t="str">
        <f t="shared" si="40"/>
        <v>i</v>
      </c>
      <c r="L1349" s="20" t="s">
        <v>175</v>
      </c>
      <c r="M1349" s="4"/>
      <c r="N1349" s="2" t="s">
        <v>2772</v>
      </c>
      <c r="O1349" s="2"/>
      <c r="P1349" s="4">
        <v>1</v>
      </c>
      <c r="Q1349" s="2" t="s">
        <v>2771</v>
      </c>
      <c r="R1349" s="11">
        <f>SUBTOTAL(3,_xlfn.SINGLE(tbl_file[RowId]))</f>
        <v>1</v>
      </c>
    </row>
    <row r="1350" spans="10:18">
      <c r="J1350" s="4">
        <v>758</v>
      </c>
      <c r="K1350" s="21" t="str">
        <f t="shared" si="40"/>
        <v>i</v>
      </c>
      <c r="L1350" s="20" t="s">
        <v>175</v>
      </c>
      <c r="M1350" s="4"/>
      <c r="N1350" s="2" t="s">
        <v>2773</v>
      </c>
      <c r="O1350" s="2"/>
      <c r="P1350" s="4">
        <v>1</v>
      </c>
      <c r="Q1350" s="2" t="s">
        <v>2771</v>
      </c>
      <c r="R1350" s="11">
        <f>SUBTOTAL(3,_xlfn.SINGLE(tbl_file[RowId]))</f>
        <v>1</v>
      </c>
    </row>
    <row r="1351" spans="10:18">
      <c r="J1351" s="4">
        <v>759</v>
      </c>
      <c r="K1351" s="21" t="str">
        <f t="shared" si="40"/>
        <v>i</v>
      </c>
      <c r="L1351" s="20" t="s">
        <v>175</v>
      </c>
      <c r="M1351" s="4"/>
      <c r="N1351" s="2" t="s">
        <v>2774</v>
      </c>
      <c r="O1351" s="2" t="s">
        <v>2775</v>
      </c>
      <c r="P1351" s="4">
        <v>1</v>
      </c>
      <c r="Q1351" s="2" t="s">
        <v>2771</v>
      </c>
      <c r="R1351" s="11">
        <f>SUBTOTAL(3,_xlfn.SINGLE(tbl_file[RowId]))</f>
        <v>1</v>
      </c>
    </row>
    <row r="1352" spans="10:18">
      <c r="J1352" s="4">
        <v>760</v>
      </c>
      <c r="K1352" s="21" t="str">
        <f t="shared" si="40"/>
        <v>i</v>
      </c>
      <c r="L1352" s="20" t="s">
        <v>175</v>
      </c>
      <c r="M1352" s="4"/>
      <c r="N1352" s="2" t="s">
        <v>2776</v>
      </c>
      <c r="O1352" s="2"/>
      <c r="P1352" s="4">
        <v>2</v>
      </c>
      <c r="Q1352" s="2" t="s">
        <v>2777</v>
      </c>
      <c r="R1352" s="11">
        <f>SUBTOTAL(3,_xlfn.SINGLE(tbl_file[RowId]))</f>
        <v>1</v>
      </c>
    </row>
    <row r="1353" spans="10:18">
      <c r="J1353" s="4">
        <v>761</v>
      </c>
      <c r="K1353" s="21" t="str">
        <f t="shared" si="40"/>
        <v>i</v>
      </c>
      <c r="L1353" s="20" t="s">
        <v>175</v>
      </c>
      <c r="M1353" s="4"/>
      <c r="N1353" s="2" t="s">
        <v>2778</v>
      </c>
      <c r="O1353" s="2"/>
      <c r="P1353" s="4">
        <v>2</v>
      </c>
      <c r="Q1353" s="2" t="s">
        <v>2779</v>
      </c>
      <c r="R1353" s="11">
        <f>SUBTOTAL(3,_xlfn.SINGLE(tbl_file[RowId]))</f>
        <v>1</v>
      </c>
    </row>
    <row r="1354" spans="10:18">
      <c r="J1354" s="4">
        <v>762</v>
      </c>
      <c r="K1354" s="21" t="str">
        <f t="shared" si="40"/>
        <v>i</v>
      </c>
      <c r="L1354" s="20" t="s">
        <v>175</v>
      </c>
      <c r="M1354" s="4"/>
      <c r="N1354" s="2" t="s">
        <v>2780</v>
      </c>
      <c r="O1354" s="2"/>
      <c r="P1354" s="4">
        <v>2</v>
      </c>
      <c r="Q1354" s="2" t="s">
        <v>2781</v>
      </c>
      <c r="R1354" s="11">
        <f>SUBTOTAL(3,_xlfn.SINGLE(tbl_file[RowId]))</f>
        <v>1</v>
      </c>
    </row>
    <row r="1355" spans="10:18">
      <c r="J1355" s="4">
        <v>763</v>
      </c>
      <c r="K1355" s="21" t="str">
        <f t="shared" si="40"/>
        <v>i</v>
      </c>
      <c r="L1355" s="20" t="s">
        <v>175</v>
      </c>
      <c r="M1355" s="4"/>
      <c r="N1355" s="2" t="s">
        <v>2782</v>
      </c>
      <c r="O1355" s="2"/>
      <c r="P1355" s="4">
        <v>14</v>
      </c>
      <c r="Q1355" s="2" t="s">
        <v>2783</v>
      </c>
      <c r="R1355" s="11">
        <f>SUBTOTAL(3,_xlfn.SINGLE(tbl_file[RowId]))</f>
        <v>1</v>
      </c>
    </row>
    <row r="1356" spans="10:18">
      <c r="J1356" s="4">
        <v>764</v>
      </c>
      <c r="K1356" s="21" t="str">
        <f t="shared" si="40"/>
        <v>i</v>
      </c>
      <c r="L1356" s="20" t="s">
        <v>175</v>
      </c>
      <c r="M1356" s="4"/>
      <c r="N1356" s="2" t="s">
        <v>2784</v>
      </c>
      <c r="O1356" s="2"/>
      <c r="P1356" s="4">
        <v>14</v>
      </c>
      <c r="Q1356" s="2" t="s">
        <v>2785</v>
      </c>
      <c r="R1356" s="11">
        <f>SUBTOTAL(3,_xlfn.SINGLE(tbl_file[RowId]))</f>
        <v>1</v>
      </c>
    </row>
    <row r="1357" spans="10:18">
      <c r="J1357" s="4">
        <v>765</v>
      </c>
      <c r="K1357" s="21" t="str">
        <f t="shared" si="40"/>
        <v>i</v>
      </c>
      <c r="L1357" s="20" t="s">
        <v>175</v>
      </c>
      <c r="M1357" s="4"/>
      <c r="N1357" s="2" t="s">
        <v>2786</v>
      </c>
      <c r="O1357" s="2"/>
      <c r="P1357" s="4">
        <v>2</v>
      </c>
      <c r="Q1357" s="2" t="s">
        <v>2787</v>
      </c>
      <c r="R1357" s="11">
        <f>SUBTOTAL(3,_xlfn.SINGLE(tbl_file[RowId]))</f>
        <v>1</v>
      </c>
    </row>
    <row r="1358" spans="10:18">
      <c r="J1358" s="4">
        <v>766</v>
      </c>
      <c r="K1358" s="21" t="str">
        <f t="shared" si="40"/>
        <v>i</v>
      </c>
      <c r="L1358" s="20" t="s">
        <v>175</v>
      </c>
      <c r="M1358" s="4"/>
      <c r="N1358" s="2" t="s">
        <v>2788</v>
      </c>
      <c r="O1358" s="2" t="s">
        <v>2789</v>
      </c>
      <c r="P1358" s="4">
        <v>3</v>
      </c>
      <c r="Q1358" s="2" t="s">
        <v>2790</v>
      </c>
      <c r="R1358" s="11">
        <f>SUBTOTAL(3,_xlfn.SINGLE(tbl_file[RowId]))</f>
        <v>1</v>
      </c>
    </row>
    <row r="1359" spans="10:18">
      <c r="J1359" s="4">
        <v>767</v>
      </c>
      <c r="K1359" s="21" t="str">
        <f t="shared" si="40"/>
        <v>i</v>
      </c>
      <c r="L1359" s="20" t="s">
        <v>175</v>
      </c>
      <c r="M1359" s="4"/>
      <c r="N1359" s="2" t="s">
        <v>2791</v>
      </c>
      <c r="O1359" s="2" t="s">
        <v>2792</v>
      </c>
      <c r="P1359" s="4">
        <v>3</v>
      </c>
      <c r="Q1359" s="2" t="s">
        <v>2793</v>
      </c>
      <c r="R1359" s="11">
        <f>SUBTOTAL(3,_xlfn.SINGLE(tbl_file[RowId]))</f>
        <v>1</v>
      </c>
    </row>
    <row r="1360" spans="10:18">
      <c r="J1360" s="4">
        <v>768</v>
      </c>
      <c r="K1360" s="21" t="str">
        <f t="shared" si="40"/>
        <v>i</v>
      </c>
      <c r="L1360" s="20" t="s">
        <v>175</v>
      </c>
      <c r="M1360" s="4"/>
      <c r="N1360" s="2" t="s">
        <v>2794</v>
      </c>
      <c r="O1360" s="2" t="s">
        <v>2795</v>
      </c>
      <c r="P1360" s="4">
        <v>3</v>
      </c>
      <c r="Q1360" s="2" t="s">
        <v>2796</v>
      </c>
      <c r="R1360" s="11">
        <f>SUBTOTAL(3,_xlfn.SINGLE(tbl_file[RowId]))</f>
        <v>1</v>
      </c>
    </row>
    <row r="1361" spans="10:18">
      <c r="J1361" s="4">
        <v>769</v>
      </c>
      <c r="K1361" s="21" t="str">
        <f t="shared" si="40"/>
        <v>i</v>
      </c>
      <c r="L1361" s="20" t="s">
        <v>175</v>
      </c>
      <c r="M1361" s="4"/>
      <c r="N1361" s="2" t="s">
        <v>2797</v>
      </c>
      <c r="O1361" s="2" t="s">
        <v>2798</v>
      </c>
      <c r="P1361" s="4">
        <v>3</v>
      </c>
      <c r="Q1361" s="2" t="s">
        <v>2799</v>
      </c>
      <c r="R1361" s="11">
        <f>SUBTOTAL(3,_xlfn.SINGLE(tbl_file[RowId]))</f>
        <v>1</v>
      </c>
    </row>
    <row r="1362" spans="10:18">
      <c r="J1362" s="4">
        <v>770</v>
      </c>
      <c r="K1362" s="21" t="str">
        <f t="shared" si="40"/>
        <v>i</v>
      </c>
      <c r="L1362" s="20" t="s">
        <v>175</v>
      </c>
      <c r="M1362" s="4"/>
      <c r="N1362" s="2" t="s">
        <v>2800</v>
      </c>
      <c r="O1362" s="2"/>
      <c r="P1362" s="4">
        <v>2</v>
      </c>
      <c r="Q1362" s="2" t="s">
        <v>2801</v>
      </c>
      <c r="R1362" s="11">
        <f>SUBTOTAL(3,_xlfn.SINGLE(tbl_file[RowId]))</f>
        <v>1</v>
      </c>
    </row>
    <row r="1363" spans="10:18">
      <c r="J1363" s="4">
        <v>771</v>
      </c>
      <c r="K1363" s="21" t="str">
        <f t="shared" si="40"/>
        <v>i</v>
      </c>
      <c r="L1363" s="20" t="s">
        <v>175</v>
      </c>
      <c r="M1363" s="4"/>
      <c r="N1363" s="2" t="s">
        <v>2802</v>
      </c>
      <c r="O1363" s="2"/>
      <c r="P1363" s="4">
        <v>2</v>
      </c>
      <c r="Q1363" s="2" t="s">
        <v>2803</v>
      </c>
      <c r="R1363" s="11">
        <f>SUBTOTAL(3,_xlfn.SINGLE(tbl_file[RowId]))</f>
        <v>1</v>
      </c>
    </row>
    <row r="1364" spans="10:18">
      <c r="J1364" s="4">
        <v>772</v>
      </c>
      <c r="K1364" s="21" t="str">
        <f t="shared" si="40"/>
        <v>i</v>
      </c>
      <c r="L1364" s="20" t="s">
        <v>175</v>
      </c>
      <c r="M1364" s="4"/>
      <c r="N1364" s="2" t="s">
        <v>2804</v>
      </c>
      <c r="O1364" s="2"/>
      <c r="P1364" s="4">
        <v>2</v>
      </c>
      <c r="Q1364" s="2" t="s">
        <v>2805</v>
      </c>
      <c r="R1364" s="11">
        <f>SUBTOTAL(3,_xlfn.SINGLE(tbl_file[RowId]))</f>
        <v>1</v>
      </c>
    </row>
    <row r="1365" spans="10:18">
      <c r="J1365" s="4">
        <v>773</v>
      </c>
      <c r="K1365" s="21" t="str">
        <f t="shared" si="40"/>
        <v>i</v>
      </c>
      <c r="L1365" s="20" t="s">
        <v>175</v>
      </c>
      <c r="M1365" s="4"/>
      <c r="N1365" s="2" t="s">
        <v>2806</v>
      </c>
      <c r="O1365" s="2"/>
      <c r="P1365" s="4">
        <v>2</v>
      </c>
      <c r="Q1365" s="2" t="s">
        <v>2807</v>
      </c>
      <c r="R1365" s="11">
        <f>SUBTOTAL(3,_xlfn.SINGLE(tbl_file[RowId]))</f>
        <v>1</v>
      </c>
    </row>
    <row r="1366" spans="10:18">
      <c r="J1366" s="4">
        <v>774</v>
      </c>
      <c r="K1366" s="21" t="str">
        <f t="shared" si="40"/>
        <v>i</v>
      </c>
      <c r="L1366" s="20" t="s">
        <v>175</v>
      </c>
      <c r="M1366" s="4"/>
      <c r="N1366" s="2" t="s">
        <v>2808</v>
      </c>
      <c r="O1366" s="2"/>
      <c r="P1366" s="4">
        <v>1</v>
      </c>
      <c r="Q1366" s="2" t="s">
        <v>2809</v>
      </c>
      <c r="R1366" s="11">
        <f>SUBTOTAL(3,_xlfn.SINGLE(tbl_file[RowId]))</f>
        <v>1</v>
      </c>
    </row>
    <row r="1367" spans="10:18">
      <c r="J1367" s="4">
        <v>775</v>
      </c>
      <c r="K1367" s="21" t="str">
        <f t="shared" si="40"/>
        <v>i</v>
      </c>
      <c r="L1367" s="20" t="s">
        <v>175</v>
      </c>
      <c r="M1367" s="4"/>
      <c r="N1367" s="2" t="s">
        <v>2810</v>
      </c>
      <c r="O1367" s="2" t="s">
        <v>2811</v>
      </c>
      <c r="P1367" s="4">
        <v>3</v>
      </c>
      <c r="Q1367" s="2" t="s">
        <v>2799</v>
      </c>
      <c r="R1367" s="11">
        <f>SUBTOTAL(3,_xlfn.SINGLE(tbl_file[RowId]))</f>
        <v>1</v>
      </c>
    </row>
    <row r="1368" spans="10:18">
      <c r="J1368" s="4">
        <v>776</v>
      </c>
      <c r="K1368" s="21" t="str">
        <f t="shared" si="40"/>
        <v>i</v>
      </c>
      <c r="L1368" s="20" t="s">
        <v>175</v>
      </c>
      <c r="M1368" s="4"/>
      <c r="N1368" s="2" t="s">
        <v>2812</v>
      </c>
      <c r="O1368" s="2"/>
      <c r="P1368" s="4">
        <v>14</v>
      </c>
      <c r="Q1368" s="2" t="s">
        <v>2813</v>
      </c>
      <c r="R1368" s="11">
        <f>SUBTOTAL(3,_xlfn.SINGLE(tbl_file[RowId]))</f>
        <v>1</v>
      </c>
    </row>
    <row r="1369" spans="10:18">
      <c r="J1369" s="4">
        <v>777</v>
      </c>
      <c r="K1369" s="21" t="str">
        <f t="shared" si="40"/>
        <v>i</v>
      </c>
      <c r="L1369" s="20" t="s">
        <v>175</v>
      </c>
      <c r="M1369" s="4"/>
      <c r="N1369" s="2" t="s">
        <v>2814</v>
      </c>
      <c r="O1369" s="2"/>
      <c r="P1369" s="4">
        <v>14</v>
      </c>
      <c r="Q1369" s="2" t="s">
        <v>2815</v>
      </c>
      <c r="R1369" s="11">
        <f>SUBTOTAL(3,_xlfn.SINGLE(tbl_file[RowId]))</f>
        <v>1</v>
      </c>
    </row>
    <row r="1370" spans="10:18">
      <c r="J1370" s="4">
        <v>778</v>
      </c>
      <c r="K1370" s="21" t="str">
        <f t="shared" si="40"/>
        <v>i</v>
      </c>
      <c r="L1370" s="20" t="s">
        <v>175</v>
      </c>
      <c r="M1370" s="4"/>
      <c r="N1370" s="2" t="s">
        <v>2816</v>
      </c>
      <c r="O1370" s="2" t="s">
        <v>2817</v>
      </c>
      <c r="P1370" s="4">
        <v>14</v>
      </c>
      <c r="Q1370" s="2" t="s">
        <v>2818</v>
      </c>
      <c r="R1370" s="11">
        <f>SUBTOTAL(3,_xlfn.SINGLE(tbl_file[RowId]))</f>
        <v>1</v>
      </c>
    </row>
    <row r="1371" spans="10:18">
      <c r="J1371" s="4">
        <v>779</v>
      </c>
      <c r="K1371" s="21" t="str">
        <f t="shared" si="40"/>
        <v>i</v>
      </c>
      <c r="L1371" s="20" t="s">
        <v>175</v>
      </c>
      <c r="M1371" s="4"/>
      <c r="N1371" s="2" t="s">
        <v>2819</v>
      </c>
      <c r="O1371" s="2" t="s">
        <v>2820</v>
      </c>
      <c r="P1371" s="4">
        <v>1</v>
      </c>
      <c r="Q1371" s="2" t="s">
        <v>2771</v>
      </c>
      <c r="R1371" s="11">
        <f>SUBTOTAL(3,_xlfn.SINGLE(tbl_file[RowId]))</f>
        <v>1</v>
      </c>
    </row>
    <row r="1372" spans="10:18">
      <c r="J1372" s="4">
        <v>780</v>
      </c>
      <c r="K1372" s="21" t="str">
        <f t="shared" si="40"/>
        <v>i</v>
      </c>
      <c r="L1372" s="20" t="s">
        <v>175</v>
      </c>
      <c r="M1372" s="4"/>
      <c r="N1372" s="2" t="s">
        <v>44</v>
      </c>
      <c r="O1372" s="2"/>
      <c r="P1372" s="4">
        <v>1</v>
      </c>
      <c r="Q1372" s="2" t="s">
        <v>608</v>
      </c>
      <c r="R1372" s="11">
        <f>SUBTOTAL(3,_xlfn.SINGLE(tbl_file[RowId]))</f>
        <v>1</v>
      </c>
    </row>
    <row r="1373" spans="10:18">
      <c r="J1373" s="4">
        <v>781</v>
      </c>
      <c r="K1373" s="21" t="str">
        <f t="shared" si="40"/>
        <v>i</v>
      </c>
      <c r="L1373" s="20" t="s">
        <v>175</v>
      </c>
      <c r="M1373" s="4"/>
      <c r="N1373" s="2" t="s">
        <v>49</v>
      </c>
      <c r="O1373" s="2"/>
      <c r="P1373" s="4">
        <v>1</v>
      </c>
      <c r="Q1373" s="2" t="s">
        <v>2692</v>
      </c>
      <c r="R1373" s="11">
        <f>SUBTOTAL(3,_xlfn.SINGLE(tbl_file[RowId]))</f>
        <v>1</v>
      </c>
    </row>
    <row r="1374" spans="10:18">
      <c r="J1374" s="4">
        <v>782</v>
      </c>
      <c r="K1374" s="21" t="str">
        <f t="shared" si="40"/>
        <v>i</v>
      </c>
      <c r="L1374" s="20" t="s">
        <v>175</v>
      </c>
      <c r="M1374" s="4"/>
      <c r="N1374" s="2" t="s">
        <v>51</v>
      </c>
      <c r="O1374" s="2" t="s">
        <v>2821</v>
      </c>
      <c r="P1374" s="4">
        <v>1</v>
      </c>
      <c r="Q1374" s="2" t="s">
        <v>2667</v>
      </c>
      <c r="R1374" s="11">
        <f>SUBTOTAL(3,_xlfn.SINGLE(tbl_file[RowId]))</f>
        <v>1</v>
      </c>
    </row>
    <row r="1375" spans="10:18">
      <c r="J1375" s="4">
        <v>783</v>
      </c>
      <c r="K1375" s="21" t="str">
        <f t="shared" si="40"/>
        <v>i</v>
      </c>
      <c r="L1375" s="20" t="s">
        <v>175</v>
      </c>
      <c r="M1375" s="4"/>
      <c r="N1375" s="2" t="s">
        <v>2822</v>
      </c>
      <c r="O1375" s="2" t="s">
        <v>2823</v>
      </c>
      <c r="P1375" s="4">
        <v>1</v>
      </c>
      <c r="Q1375" s="2" t="s">
        <v>2771</v>
      </c>
      <c r="R1375" s="11">
        <f>SUBTOTAL(3,_xlfn.SINGLE(tbl_file[RowId]))</f>
        <v>1</v>
      </c>
    </row>
    <row r="1376" spans="10:18">
      <c r="J1376" s="4">
        <v>784</v>
      </c>
      <c r="K1376" s="21" t="str">
        <f t="shared" si="40"/>
        <v>i</v>
      </c>
      <c r="L1376" s="20" t="s">
        <v>175</v>
      </c>
      <c r="M1376" s="4"/>
      <c r="N1376" s="2" t="s">
        <v>2824</v>
      </c>
      <c r="O1376" s="2" t="s">
        <v>2825</v>
      </c>
      <c r="P1376" s="4">
        <v>1</v>
      </c>
      <c r="Q1376" s="2" t="s">
        <v>2371</v>
      </c>
      <c r="R1376" s="11">
        <f>SUBTOTAL(3,_xlfn.SINGLE(tbl_file[RowId]))</f>
        <v>1</v>
      </c>
    </row>
    <row r="1377" spans="10:18">
      <c r="J1377" s="4">
        <v>785</v>
      </c>
      <c r="K1377" s="21" t="str">
        <f t="shared" si="40"/>
        <v>i</v>
      </c>
      <c r="L1377" s="20" t="s">
        <v>175</v>
      </c>
      <c r="M1377" s="4"/>
      <c r="N1377" s="2" t="s">
        <v>2826</v>
      </c>
      <c r="O1377" s="2"/>
      <c r="P1377" s="4">
        <v>1</v>
      </c>
      <c r="Q1377" s="2" t="s">
        <v>2827</v>
      </c>
      <c r="R1377" s="11">
        <f>SUBTOTAL(3,_xlfn.SINGLE(tbl_file[RowId]))</f>
        <v>1</v>
      </c>
    </row>
    <row r="1378" spans="10:18">
      <c r="J1378" s="4">
        <v>786</v>
      </c>
      <c r="K1378" s="21" t="str">
        <f t="shared" si="40"/>
        <v>i</v>
      </c>
      <c r="L1378" s="20" t="s">
        <v>175</v>
      </c>
      <c r="M1378" s="4" t="s">
        <v>2626</v>
      </c>
      <c r="N1378" s="2" t="s">
        <v>2606</v>
      </c>
      <c r="O1378" s="2" t="s">
        <v>2817</v>
      </c>
      <c r="P1378" s="4">
        <v>1</v>
      </c>
      <c r="Q1378" s="2" t="s">
        <v>2371</v>
      </c>
      <c r="R1378" s="11">
        <f>SUBTOTAL(3,_xlfn.SINGLE(tbl_file[RowId]))</f>
        <v>1</v>
      </c>
    </row>
    <row r="1379" spans="10:18">
      <c r="J1379" s="4">
        <v>653</v>
      </c>
      <c r="K1379" s="21" t="str">
        <f t="shared" ref="K1379:K1390" si="41">HYPERLINK("obsidian://open?vault=o2&amp;file=I%20Made%20an%20App%20that%20KEEPS%20Windows%2011%20Debloated%20%26%20Optimized.md","I Made an App that KEEPS Windows 11 Debloated &amp; Optimized")</f>
        <v>I Made an App that KEEPS Windows 11 Debloated &amp; Optimized</v>
      </c>
      <c r="L1379" s="20" t="s">
        <v>175</v>
      </c>
      <c r="M1379" s="4"/>
      <c r="N1379" s="2" t="s">
        <v>11</v>
      </c>
      <c r="O1379" s="2"/>
      <c r="P1379" s="4">
        <v>2</v>
      </c>
      <c r="Q1379" s="2" t="s">
        <v>2741</v>
      </c>
      <c r="R1379" s="11">
        <f>SUBTOTAL(3,_xlfn.SINGLE(tbl_file[RowId]))</f>
        <v>1</v>
      </c>
    </row>
    <row r="1380" spans="10:18">
      <c r="J1380" s="4">
        <v>654</v>
      </c>
      <c r="K1380" s="21" t="str">
        <f t="shared" si="41"/>
        <v>I Made an App that KEEPS Windows 11 Debloated &amp; Optimized</v>
      </c>
      <c r="L1380" s="20" t="s">
        <v>175</v>
      </c>
      <c r="M1380" s="4"/>
      <c r="N1380" s="2" t="s">
        <v>13</v>
      </c>
      <c r="O1380" s="2"/>
      <c r="P1380" s="4">
        <v>1</v>
      </c>
      <c r="Q1380" s="2" t="s">
        <v>320</v>
      </c>
      <c r="R1380" s="11">
        <f>SUBTOTAL(3,_xlfn.SINGLE(tbl_file[RowId]))</f>
        <v>1</v>
      </c>
    </row>
    <row r="1381" spans="10:18">
      <c r="J1381" s="4">
        <v>655</v>
      </c>
      <c r="K1381" s="21" t="str">
        <f t="shared" si="41"/>
        <v>I Made an App that KEEPS Windows 11 Debloated &amp; Optimized</v>
      </c>
      <c r="L1381" s="20" t="s">
        <v>175</v>
      </c>
      <c r="M1381" s="4"/>
      <c r="N1381" s="2" t="s">
        <v>16</v>
      </c>
      <c r="O1381" s="2"/>
      <c r="P1381" s="4">
        <v>1</v>
      </c>
      <c r="Q1381" s="2" t="s">
        <v>320</v>
      </c>
      <c r="R1381" s="11">
        <f>SUBTOTAL(3,_xlfn.SINGLE(tbl_file[RowId]))</f>
        <v>1</v>
      </c>
    </row>
    <row r="1382" spans="10:18">
      <c r="J1382" s="4">
        <v>656</v>
      </c>
      <c r="K1382" s="21" t="str">
        <f t="shared" si="41"/>
        <v>I Made an App that KEEPS Windows 11 Debloated &amp; Optimized</v>
      </c>
      <c r="L1382" s="20" t="s">
        <v>175</v>
      </c>
      <c r="M1382" s="4"/>
      <c r="N1382" s="2" t="s">
        <v>37</v>
      </c>
      <c r="O1382" s="2"/>
      <c r="P1382" s="4">
        <v>1</v>
      </c>
      <c r="Q1382" s="2" t="s">
        <v>575</v>
      </c>
      <c r="R1382" s="11">
        <f>SUBTOTAL(3,_xlfn.SINGLE(tbl_file[RowId]))</f>
        <v>1</v>
      </c>
    </row>
    <row r="1383" spans="10:18">
      <c r="J1383" s="4">
        <v>657</v>
      </c>
      <c r="K1383" s="21" t="str">
        <f t="shared" si="41"/>
        <v>I Made an App that KEEPS Windows 11 Debloated &amp; Optimized</v>
      </c>
      <c r="L1383" s="20" t="s">
        <v>175</v>
      </c>
      <c r="M1383" s="4"/>
      <c r="N1383" s="2" t="s">
        <v>48</v>
      </c>
      <c r="O1383" s="2"/>
      <c r="P1383" s="4">
        <v>22</v>
      </c>
      <c r="Q1383" s="2" t="s">
        <v>2742</v>
      </c>
      <c r="R1383" s="11">
        <f>SUBTOTAL(3,_xlfn.SINGLE(tbl_file[RowId]))</f>
        <v>1</v>
      </c>
    </row>
    <row r="1384" spans="10:18">
      <c r="J1384" s="4">
        <v>658</v>
      </c>
      <c r="K1384" s="21" t="str">
        <f t="shared" si="41"/>
        <v>I Made an App that KEEPS Windows 11 Debloated &amp; Optimized</v>
      </c>
      <c r="L1384" s="20" t="s">
        <v>175</v>
      </c>
      <c r="M1384" s="4"/>
      <c r="N1384" s="2" t="s">
        <v>119</v>
      </c>
      <c r="O1384" s="2"/>
      <c r="P1384" s="4">
        <v>1</v>
      </c>
      <c r="Q1384" s="2" t="s">
        <v>2743</v>
      </c>
      <c r="R1384" s="11">
        <f>SUBTOTAL(3,_xlfn.SINGLE(tbl_file[RowId]))</f>
        <v>1</v>
      </c>
    </row>
    <row r="1385" spans="10:18">
      <c r="J1385" s="4">
        <v>659</v>
      </c>
      <c r="K1385" s="21" t="str">
        <f t="shared" si="41"/>
        <v>I Made an App that KEEPS Windows 11 Debloated &amp; Optimized</v>
      </c>
      <c r="L1385" s="20" t="s">
        <v>175</v>
      </c>
      <c r="M1385" s="4"/>
      <c r="N1385" s="2" t="s">
        <v>126</v>
      </c>
      <c r="O1385" s="2"/>
      <c r="P1385" s="4">
        <v>1</v>
      </c>
      <c r="Q1385" s="2" t="s">
        <v>2712</v>
      </c>
      <c r="R1385" s="11">
        <f>SUBTOTAL(3,_xlfn.SINGLE(tbl_file[RowId]))</f>
        <v>1</v>
      </c>
    </row>
    <row r="1386" spans="10:18">
      <c r="J1386" s="4">
        <v>660</v>
      </c>
      <c r="K1386" s="21" t="str">
        <f t="shared" si="41"/>
        <v>I Made an App that KEEPS Windows 11 Debloated &amp; Optimized</v>
      </c>
      <c r="L1386" s="20" t="s">
        <v>175</v>
      </c>
      <c r="M1386" s="4"/>
      <c r="N1386" s="2" t="s">
        <v>2606</v>
      </c>
      <c r="O1386" s="2"/>
      <c r="P1386" s="4">
        <v>4</v>
      </c>
      <c r="Q1386" s="2" t="s">
        <v>2744</v>
      </c>
      <c r="R1386" s="11">
        <f>SUBTOTAL(3,_xlfn.SINGLE(tbl_file[RowId]))</f>
        <v>1</v>
      </c>
    </row>
    <row r="1387" spans="10:18">
      <c r="J1387" s="4">
        <v>661</v>
      </c>
      <c r="K1387" s="21" t="str">
        <f t="shared" si="41"/>
        <v>I Made an App that KEEPS Windows 11 Debloated &amp; Optimized</v>
      </c>
      <c r="L1387" s="20" t="s">
        <v>175</v>
      </c>
      <c r="M1387" s="4"/>
      <c r="N1387" s="2" t="s">
        <v>131</v>
      </c>
      <c r="O1387" s="2"/>
      <c r="P1387" s="4">
        <v>1</v>
      </c>
      <c r="Q1387" s="2" t="s">
        <v>1991</v>
      </c>
      <c r="R1387" s="11">
        <f>SUBTOTAL(3,_xlfn.SINGLE(tbl_file[RowId]))</f>
        <v>1</v>
      </c>
    </row>
    <row r="1388" spans="10:18">
      <c r="J1388" s="4">
        <v>662</v>
      </c>
      <c r="K1388" s="21" t="str">
        <f t="shared" si="41"/>
        <v>I Made an App that KEEPS Windows 11 Debloated &amp; Optimized</v>
      </c>
      <c r="L1388" s="20" t="s">
        <v>175</v>
      </c>
      <c r="M1388" s="4"/>
      <c r="N1388" s="2" t="s">
        <v>132</v>
      </c>
      <c r="O1388" s="2"/>
      <c r="P1388" s="4">
        <v>1</v>
      </c>
      <c r="Q1388" s="2" t="s">
        <v>216</v>
      </c>
      <c r="R1388" s="11">
        <f>SUBTOTAL(3,_xlfn.SINGLE(tbl_file[RowId]))</f>
        <v>1</v>
      </c>
    </row>
    <row r="1389" spans="10:18">
      <c r="J1389" s="4">
        <v>663</v>
      </c>
      <c r="K1389" s="21" t="str">
        <f t="shared" si="41"/>
        <v>I Made an App that KEEPS Windows 11 Debloated &amp; Optimized</v>
      </c>
      <c r="L1389" s="20" t="s">
        <v>175</v>
      </c>
      <c r="M1389" s="4"/>
      <c r="N1389" s="2" t="s">
        <v>137</v>
      </c>
      <c r="O1389" s="2"/>
      <c r="P1389" s="4">
        <v>1</v>
      </c>
      <c r="Q1389" s="2" t="s">
        <v>2221</v>
      </c>
      <c r="R1389" s="11">
        <f>SUBTOTAL(3,_xlfn.SINGLE(tbl_file[RowId]))</f>
        <v>1</v>
      </c>
    </row>
    <row r="1390" spans="10:18">
      <c r="J1390" s="4">
        <v>664</v>
      </c>
      <c r="K1390" s="21" t="str">
        <f t="shared" si="41"/>
        <v>I Made an App that KEEPS Windows 11 Debloated &amp; Optimized</v>
      </c>
      <c r="L1390" s="20" t="s">
        <v>175</v>
      </c>
      <c r="M1390" s="4" t="s">
        <v>2626</v>
      </c>
      <c r="N1390" s="2" t="s">
        <v>2606</v>
      </c>
      <c r="O1390" s="2"/>
      <c r="P1390" s="4">
        <v>3</v>
      </c>
      <c r="Q1390" s="2" t="s">
        <v>2745</v>
      </c>
      <c r="R1390" s="11">
        <f>SUBTOTAL(3,_xlfn.SINGLE(tbl_file[RowId]))</f>
        <v>1</v>
      </c>
    </row>
    <row r="1391" spans="10:18">
      <c r="J1391" s="4">
        <v>2029</v>
      </c>
      <c r="K1391" s="21" t="str">
        <f>HYPERLINK("obsidian://open?vault=o2&amp;file=Ideation%20is%20an%20incremental%2C%20slow%20burn.md","Ideation is an incremental, slow burn")</f>
        <v>Ideation is an incremental, slow burn</v>
      </c>
      <c r="L1391" s="20" t="s">
        <v>175</v>
      </c>
      <c r="M1391" s="4"/>
      <c r="N1391" s="2" t="s">
        <v>50</v>
      </c>
      <c r="O1391" s="2"/>
      <c r="P1391" s="4">
        <v>1</v>
      </c>
      <c r="Q1391" s="2" t="s">
        <v>1490</v>
      </c>
      <c r="R1391" s="11">
        <f>SUBTOTAL(3,_xlfn.SINGLE(tbl_file[RowId]))</f>
        <v>1</v>
      </c>
    </row>
    <row r="1392" spans="10:18">
      <c r="J1392" s="4">
        <v>186</v>
      </c>
      <c r="K1392" s="21" t="str">
        <f>HYPERLINK("obsidian://open?vault=o2&amp;file=Image%20Categorization%20Project%20Definition.md","Image Categorization Project Definition")</f>
        <v>Image Categorization Project Definition</v>
      </c>
      <c r="L1392" s="20" t="s">
        <v>175</v>
      </c>
      <c r="M1392" s="4"/>
      <c r="N1392" s="2" t="s">
        <v>50</v>
      </c>
      <c r="O1392" s="2"/>
      <c r="P1392" s="4">
        <v>1</v>
      </c>
      <c r="Q1392" s="2" t="s">
        <v>1635</v>
      </c>
      <c r="R1392" s="11">
        <f>SUBTOTAL(3,_xlfn.SINGLE(tbl_file[RowId]))</f>
        <v>1</v>
      </c>
    </row>
    <row r="1393" spans="10:18">
      <c r="J1393" s="4">
        <v>187</v>
      </c>
      <c r="K1393" s="21" t="str">
        <f>HYPERLINK("obsidian://open?vault=o2&amp;file=Image%20Categorization%20Project%20Definition.md","Image Categorization Project Definition")</f>
        <v>Image Categorization Project Definition</v>
      </c>
      <c r="L1393" s="20" t="s">
        <v>175</v>
      </c>
      <c r="M1393" s="4"/>
      <c r="N1393" s="2" t="s">
        <v>127</v>
      </c>
      <c r="O1393" s="2"/>
      <c r="P1393" s="4">
        <v>1</v>
      </c>
      <c r="Q1393" s="2" t="s">
        <v>1958</v>
      </c>
      <c r="R1393" s="11">
        <f>SUBTOTAL(3,_xlfn.SINGLE(tbl_file[RowId]))</f>
        <v>1</v>
      </c>
    </row>
    <row r="1394" spans="10:18">
      <c r="J1394" s="4">
        <v>188</v>
      </c>
      <c r="K1394" s="21" t="str">
        <f>HYPERLINK("obsidian://open?vault=o2&amp;file=Image%20Categorization%20Project%20Definition.md","Image Categorization Project Definition")</f>
        <v>Image Categorization Project Definition</v>
      </c>
      <c r="L1394" s="20" t="s">
        <v>175</v>
      </c>
      <c r="M1394" s="4"/>
      <c r="N1394" s="2" t="s">
        <v>2606</v>
      </c>
      <c r="O1394" s="2"/>
      <c r="P1394" s="4">
        <v>4</v>
      </c>
      <c r="Q1394" s="2" t="s">
        <v>2642</v>
      </c>
      <c r="R1394" s="11">
        <f>SUBTOTAL(3,_xlfn.SINGLE(tbl_file[RowId]))</f>
        <v>1</v>
      </c>
    </row>
    <row r="1395" spans="10:18">
      <c r="J1395" s="4">
        <v>189</v>
      </c>
      <c r="K1395" s="21" t="str">
        <f>HYPERLINK("obsidian://open?vault=o2&amp;file=Image%20Categorization%20Project%20Definition.md","Image Categorization Project Definition")</f>
        <v>Image Categorization Project Definition</v>
      </c>
      <c r="L1395" s="20" t="s">
        <v>175</v>
      </c>
      <c r="M1395" s="4"/>
      <c r="N1395" s="2" t="s">
        <v>133</v>
      </c>
      <c r="O1395" s="2"/>
      <c r="P1395" s="4">
        <v>1</v>
      </c>
      <c r="Q1395" s="2" t="s">
        <v>2614</v>
      </c>
      <c r="R1395" s="11">
        <f>SUBTOTAL(3,_xlfn.SINGLE(tbl_file[RowId]))</f>
        <v>1</v>
      </c>
    </row>
    <row r="1396" spans="10:18">
      <c r="J1396" s="4">
        <v>2030</v>
      </c>
      <c r="K1396" s="21" t="str">
        <f>HYPERLINK("obsidian://open?vault=o2&amp;file=Imitate%20the%20thinking%20and%20writing%20of%20your%20role%20models.md","Imitate the thinking and writing of your role models")</f>
        <v>Imitate the thinking and writing of your role models</v>
      </c>
      <c r="L1396" s="20" t="s">
        <v>175</v>
      </c>
      <c r="M1396" s="4"/>
      <c r="N1396" s="2" t="s">
        <v>50</v>
      </c>
      <c r="O1396" s="2"/>
      <c r="P1396" s="4">
        <v>1</v>
      </c>
      <c r="Q1396" s="2" t="s">
        <v>1484</v>
      </c>
      <c r="R1396" s="11">
        <f>SUBTOTAL(3,_xlfn.SINGLE(tbl_file[RowId]))</f>
        <v>1</v>
      </c>
    </row>
    <row r="1397" spans="10:18">
      <c r="J1397" s="4">
        <v>2458</v>
      </c>
      <c r="K1397" s="21" t="str">
        <f t="shared" ref="K1397:K1403" si="42">HYPERLINK("obsidian://open?vault=o2&amp;file=InboxNote%20Template.md","InboxNote Template")</f>
        <v>InboxNote Template</v>
      </c>
      <c r="L1397" s="20" t="s">
        <v>175</v>
      </c>
      <c r="M1397" s="4"/>
      <c r="N1397" s="2" t="s">
        <v>48</v>
      </c>
      <c r="O1397" s="2"/>
      <c r="P1397" s="4">
        <v>1</v>
      </c>
      <c r="Q1397" s="2"/>
      <c r="R1397" s="11">
        <f>SUBTOTAL(3,_xlfn.SINGLE(tbl_file[RowId]))</f>
        <v>1</v>
      </c>
    </row>
    <row r="1398" spans="10:18">
      <c r="J1398" s="4">
        <v>2459</v>
      </c>
      <c r="K1398" s="21" t="str">
        <f t="shared" si="42"/>
        <v>InboxNote Template</v>
      </c>
      <c r="L1398" s="20" t="s">
        <v>175</v>
      </c>
      <c r="M1398" s="4"/>
      <c r="N1398" s="2" t="s">
        <v>50</v>
      </c>
      <c r="O1398" s="2"/>
      <c r="P1398" s="4">
        <v>1</v>
      </c>
      <c r="Q1398" s="2" t="s">
        <v>2634</v>
      </c>
      <c r="R1398" s="11">
        <f>SUBTOTAL(3,_xlfn.SINGLE(tbl_file[RowId]))</f>
        <v>1</v>
      </c>
    </row>
    <row r="1399" spans="10:18">
      <c r="J1399" s="4">
        <v>2460</v>
      </c>
      <c r="K1399" s="21" t="str">
        <f t="shared" si="42"/>
        <v>InboxNote Template</v>
      </c>
      <c r="L1399" s="20" t="s">
        <v>175</v>
      </c>
      <c r="M1399" s="4"/>
      <c r="N1399" s="2" t="s">
        <v>118</v>
      </c>
      <c r="O1399" s="2"/>
      <c r="P1399" s="4">
        <v>1</v>
      </c>
      <c r="Q1399" s="2" t="s">
        <v>1494</v>
      </c>
      <c r="R1399" s="11">
        <f>SUBTOTAL(3,_xlfn.SINGLE(tbl_file[RowId]))</f>
        <v>1</v>
      </c>
    </row>
    <row r="1400" spans="10:18">
      <c r="J1400" s="4">
        <v>2461</v>
      </c>
      <c r="K1400" s="21" t="str">
        <f t="shared" si="42"/>
        <v>InboxNote Template</v>
      </c>
      <c r="L1400" s="20" t="s">
        <v>175</v>
      </c>
      <c r="M1400" s="4"/>
      <c r="N1400" s="2" t="s">
        <v>123</v>
      </c>
      <c r="O1400" s="2" t="s">
        <v>2635</v>
      </c>
      <c r="P1400" s="4">
        <v>1</v>
      </c>
      <c r="Q1400" s="2" t="s">
        <v>1492</v>
      </c>
      <c r="R1400" s="11">
        <f>SUBTOTAL(3,_xlfn.SINGLE(tbl_file[RowId]))</f>
        <v>1</v>
      </c>
    </row>
    <row r="1401" spans="10:18">
      <c r="J1401" s="4">
        <v>2462</v>
      </c>
      <c r="K1401" s="21" t="str">
        <f t="shared" si="42"/>
        <v>InboxNote Template</v>
      </c>
      <c r="L1401" s="20" t="s">
        <v>175</v>
      </c>
      <c r="M1401" s="4"/>
      <c r="N1401" s="2" t="s">
        <v>127</v>
      </c>
      <c r="O1401" s="2"/>
      <c r="P1401" s="4">
        <v>1</v>
      </c>
      <c r="Q1401" s="2" t="s">
        <v>1956</v>
      </c>
      <c r="R1401" s="11">
        <f>SUBTOTAL(3,_xlfn.SINGLE(tbl_file[RowId]))</f>
        <v>1</v>
      </c>
    </row>
    <row r="1402" spans="10:18">
      <c r="J1402" s="4">
        <v>2463</v>
      </c>
      <c r="K1402" s="21" t="str">
        <f t="shared" si="42"/>
        <v>InboxNote Template</v>
      </c>
      <c r="L1402" s="20" t="s">
        <v>175</v>
      </c>
      <c r="M1402" s="4"/>
      <c r="N1402" s="2" t="s">
        <v>2606</v>
      </c>
      <c r="O1402" s="2"/>
      <c r="P1402" s="4">
        <v>1</v>
      </c>
      <c r="Q1402" s="2" t="s">
        <v>2416</v>
      </c>
      <c r="R1402" s="11">
        <f>SUBTOTAL(3,_xlfn.SINGLE(tbl_file[RowId]))</f>
        <v>1</v>
      </c>
    </row>
    <row r="1403" spans="10:18">
      <c r="J1403" s="4">
        <v>2464</v>
      </c>
      <c r="K1403" s="21" t="str">
        <f t="shared" si="42"/>
        <v>InboxNote Template</v>
      </c>
      <c r="L1403" s="20" t="s">
        <v>175</v>
      </c>
      <c r="M1403" s="4"/>
      <c r="N1403" s="2" t="s">
        <v>133</v>
      </c>
      <c r="O1403" s="2" t="s">
        <v>2637</v>
      </c>
      <c r="P1403" s="4">
        <v>1</v>
      </c>
      <c r="Q1403" s="2" t="s">
        <v>2113</v>
      </c>
      <c r="R1403" s="11">
        <f>SUBTOTAL(3,_xlfn.SINGLE(tbl_file[RowId]))</f>
        <v>1</v>
      </c>
    </row>
    <row r="1404" spans="10:18">
      <c r="J1404" s="4">
        <v>2421</v>
      </c>
      <c r="K1404" s="21" t="str">
        <f>HYPERLINK("obsidian://open?vault=o2&amp;file=incl_yaml.md","incl_yaml")</f>
        <v>incl_yaml</v>
      </c>
      <c r="L1404" s="20" t="s">
        <v>175</v>
      </c>
      <c r="M1404" s="4"/>
      <c r="N1404" s="2" t="s">
        <v>50</v>
      </c>
      <c r="O1404" s="2"/>
      <c r="P1404" s="4">
        <v>2</v>
      </c>
      <c r="Q1404" s="2" t="s">
        <v>3178</v>
      </c>
      <c r="R1404" s="11">
        <f>SUBTOTAL(3,_xlfn.SINGLE(tbl_file[RowId]))</f>
        <v>1</v>
      </c>
    </row>
    <row r="1405" spans="10:18">
      <c r="J1405" s="4">
        <v>2422</v>
      </c>
      <c r="K1405" s="21" t="str">
        <f>HYPERLINK("obsidian://open?vault=o2&amp;file=incl_yaml.md","incl_yaml")</f>
        <v>incl_yaml</v>
      </c>
      <c r="L1405" s="20" t="s">
        <v>175</v>
      </c>
      <c r="M1405" s="4"/>
      <c r="N1405" s="2" t="s">
        <v>2606</v>
      </c>
      <c r="O1405" s="2"/>
      <c r="P1405" s="4">
        <v>6</v>
      </c>
      <c r="Q1405" s="2" t="s">
        <v>3179</v>
      </c>
      <c r="R1405" s="11">
        <f>SUBTOTAL(3,_xlfn.SINGLE(tbl_file[RowId]))</f>
        <v>1</v>
      </c>
    </row>
    <row r="1406" spans="10:18">
      <c r="J1406" s="4">
        <v>37</v>
      </c>
      <c r="K1406" s="21" t="str">
        <f>HYPERLINK("obsidian://open?vault=o2&amp;file=Install%20Expanded%20App%20Store.md","Install Expanded App Store")</f>
        <v>Install Expanded App Store</v>
      </c>
      <c r="L1406" s="20" t="s">
        <v>175</v>
      </c>
      <c r="M1406" s="4"/>
      <c r="N1406" s="2" t="s">
        <v>50</v>
      </c>
      <c r="O1406" s="2"/>
      <c r="P1406" s="4">
        <v>1</v>
      </c>
      <c r="Q1406" s="2" t="s">
        <v>1474</v>
      </c>
      <c r="R1406" s="11">
        <f>SUBTOTAL(3,_xlfn.SINGLE(tbl_file[RowId]))</f>
        <v>1</v>
      </c>
    </row>
    <row r="1407" spans="10:18">
      <c r="J1407" s="4">
        <v>38</v>
      </c>
      <c r="K1407" s="21" t="str">
        <f>HYPERLINK("obsidian://open?vault=o2&amp;file=Install%20Expanded%20App%20Store.md","Install Expanded App Store")</f>
        <v>Install Expanded App Store</v>
      </c>
      <c r="L1407" s="20" t="s">
        <v>175</v>
      </c>
      <c r="M1407" s="4"/>
      <c r="N1407" s="2" t="s">
        <v>127</v>
      </c>
      <c r="O1407" s="2"/>
      <c r="P1407" s="4">
        <v>1</v>
      </c>
      <c r="Q1407" s="2" t="s">
        <v>1960</v>
      </c>
      <c r="R1407" s="11">
        <f>SUBTOTAL(3,_xlfn.SINGLE(tbl_file[RowId]))</f>
        <v>1</v>
      </c>
    </row>
    <row r="1408" spans="10:18">
      <c r="J1408" s="4">
        <v>39</v>
      </c>
      <c r="K1408" s="21" t="str">
        <f>HYPERLINK("obsidian://open?vault=o2&amp;file=Install%20Expanded%20App%20Store.md","Install Expanded App Store")</f>
        <v>Install Expanded App Store</v>
      </c>
      <c r="L1408" s="20" t="s">
        <v>175</v>
      </c>
      <c r="M1408" s="4"/>
      <c r="N1408" s="2" t="s">
        <v>133</v>
      </c>
      <c r="O1408" s="2"/>
      <c r="P1408" s="4">
        <v>1</v>
      </c>
      <c r="Q1408" s="2" t="s">
        <v>2111</v>
      </c>
      <c r="R1408" s="11">
        <f>SUBTOTAL(3,_xlfn.SINGLE(tbl_file[RowId]))</f>
        <v>1</v>
      </c>
    </row>
    <row r="1409" spans="10:18">
      <c r="J1409" s="4">
        <v>329</v>
      </c>
      <c r="K1409" s="21" t="str">
        <f>HYPERLINK("obsidian://open?vault=o2&amp;file=Install%20Hypersnap%209.md","Install Hypersnap 9")</f>
        <v>Install Hypersnap 9</v>
      </c>
      <c r="L1409" s="20" t="s">
        <v>175</v>
      </c>
      <c r="M1409" s="4"/>
      <c r="N1409" s="2" t="s">
        <v>50</v>
      </c>
      <c r="O1409" s="2"/>
      <c r="P1409" s="4">
        <v>1</v>
      </c>
      <c r="Q1409" s="2" t="s">
        <v>1653</v>
      </c>
      <c r="R1409" s="11">
        <f>SUBTOTAL(3,_xlfn.SINGLE(tbl_file[RowId]))</f>
        <v>1</v>
      </c>
    </row>
    <row r="1410" spans="10:18">
      <c r="J1410" s="4">
        <v>330</v>
      </c>
      <c r="K1410" s="21" t="str">
        <f>HYPERLINK("obsidian://open?vault=o2&amp;file=Install%20Hypersnap%209.md","Install Hypersnap 9")</f>
        <v>Install Hypersnap 9</v>
      </c>
      <c r="L1410" s="20" t="s">
        <v>175</v>
      </c>
      <c r="M1410" s="4"/>
      <c r="N1410" s="2" t="s">
        <v>127</v>
      </c>
      <c r="O1410" s="2"/>
      <c r="P1410" s="4">
        <v>1</v>
      </c>
      <c r="Q1410" s="2" t="s">
        <v>1956</v>
      </c>
      <c r="R1410" s="11">
        <f>SUBTOTAL(3,_xlfn.SINGLE(tbl_file[RowId]))</f>
        <v>1</v>
      </c>
    </row>
    <row r="1411" spans="10:18">
      <c r="J1411" s="4">
        <v>331</v>
      </c>
      <c r="K1411" s="21" t="str">
        <f>HYPERLINK("obsidian://open?vault=o2&amp;file=Install%20Hypersnap%209.md","Install Hypersnap 9")</f>
        <v>Install Hypersnap 9</v>
      </c>
      <c r="L1411" s="20" t="s">
        <v>175</v>
      </c>
      <c r="M1411" s="4"/>
      <c r="N1411" s="2" t="s">
        <v>2606</v>
      </c>
      <c r="O1411" s="2"/>
      <c r="P1411" s="4">
        <v>2</v>
      </c>
      <c r="Q1411" s="2" t="s">
        <v>2666</v>
      </c>
      <c r="R1411" s="11">
        <f>SUBTOTAL(3,_xlfn.SINGLE(tbl_file[RowId]))</f>
        <v>1</v>
      </c>
    </row>
    <row r="1412" spans="10:18">
      <c r="J1412" s="4">
        <v>332</v>
      </c>
      <c r="K1412" s="21" t="str">
        <f>HYPERLINK("obsidian://open?vault=o2&amp;file=Install%20Hypersnap%209.md","Install Hypersnap 9")</f>
        <v>Install Hypersnap 9</v>
      </c>
      <c r="L1412" s="20" t="s">
        <v>175</v>
      </c>
      <c r="M1412" s="4"/>
      <c r="N1412" s="2" t="s">
        <v>133</v>
      </c>
      <c r="O1412" s="2"/>
      <c r="P1412" s="4">
        <v>1</v>
      </c>
      <c r="Q1412" s="2" t="s">
        <v>2614</v>
      </c>
      <c r="R1412" s="11">
        <f>SUBTOTAL(3,_xlfn.SINGLE(tbl_file[RowId]))</f>
        <v>1</v>
      </c>
    </row>
    <row r="1413" spans="10:18">
      <c r="J1413" s="4">
        <v>40</v>
      </c>
      <c r="K1413" s="21" t="str">
        <f>HYPERLINK("obsidian://open?vault=o2&amp;file=Install%20Nginx%20Proxy%20Manager%20on%20CasaOS.md","Install Nginx Proxy Manager on CasaOS")</f>
        <v>Install Nginx Proxy Manager on CasaOS</v>
      </c>
      <c r="L1413" s="20" t="s">
        <v>175</v>
      </c>
      <c r="M1413" s="4"/>
      <c r="N1413" s="2" t="s">
        <v>13</v>
      </c>
      <c r="O1413" s="2"/>
      <c r="P1413" s="4">
        <v>1</v>
      </c>
      <c r="Q1413" s="2" t="s">
        <v>322</v>
      </c>
      <c r="R1413" s="11">
        <f>SUBTOTAL(3,_xlfn.SINGLE(tbl_file[RowId]))</f>
        <v>1</v>
      </c>
    </row>
    <row r="1414" spans="10:18">
      <c r="J1414" s="4">
        <v>41</v>
      </c>
      <c r="K1414" s="21" t="str">
        <f>HYPERLINK("obsidian://open?vault=o2&amp;file=Install%20Nginx%20Proxy%20Manager%20on%20CasaOS.md","Install Nginx Proxy Manager on CasaOS")</f>
        <v>Install Nginx Proxy Manager on CasaOS</v>
      </c>
      <c r="L1414" s="20" t="s">
        <v>175</v>
      </c>
      <c r="M1414" s="4"/>
      <c r="N1414" s="2" t="s">
        <v>125</v>
      </c>
      <c r="O1414" s="2"/>
      <c r="P1414" s="4">
        <v>1</v>
      </c>
      <c r="Q1414" s="2" t="s">
        <v>1885</v>
      </c>
      <c r="R1414" s="11">
        <f>SUBTOTAL(3,_xlfn.SINGLE(tbl_file[RowId]))</f>
        <v>1</v>
      </c>
    </row>
    <row r="1415" spans="10:18">
      <c r="J1415" s="4">
        <v>42</v>
      </c>
      <c r="K1415" s="21" t="str">
        <f>HYPERLINK("obsidian://open?vault=o2&amp;file=Install%20Nginx%20Proxy%20Manager%20on%20CasaOS.md","Install Nginx Proxy Manager on CasaOS")</f>
        <v>Install Nginx Proxy Manager on CasaOS</v>
      </c>
      <c r="L1415" s="20" t="s">
        <v>175</v>
      </c>
      <c r="M1415" s="4"/>
      <c r="N1415" s="2" t="s">
        <v>127</v>
      </c>
      <c r="O1415" s="2"/>
      <c r="P1415" s="4">
        <v>1</v>
      </c>
      <c r="Q1415" s="2" t="s">
        <v>1960</v>
      </c>
      <c r="R1415" s="11">
        <f>SUBTOTAL(3,_xlfn.SINGLE(tbl_file[RowId]))</f>
        <v>1</v>
      </c>
    </row>
    <row r="1416" spans="10:18">
      <c r="J1416" s="4">
        <v>43</v>
      </c>
      <c r="K1416" s="21" t="str">
        <f>HYPERLINK("obsidian://open?vault=o2&amp;file=Install%20Nginx%20Proxy%20Manager%20on%20CasaOS.md","Install Nginx Proxy Manager on CasaOS")</f>
        <v>Install Nginx Proxy Manager on CasaOS</v>
      </c>
      <c r="L1416" s="20" t="s">
        <v>175</v>
      </c>
      <c r="M1416" s="4"/>
      <c r="N1416" s="2" t="s">
        <v>2606</v>
      </c>
      <c r="O1416" s="2"/>
      <c r="P1416" s="4">
        <v>5</v>
      </c>
      <c r="Q1416" s="2" t="s">
        <v>2615</v>
      </c>
      <c r="R1416" s="11">
        <f>SUBTOTAL(3,_xlfn.SINGLE(tbl_file[RowId]))</f>
        <v>1</v>
      </c>
    </row>
    <row r="1417" spans="10:18">
      <c r="J1417" s="4">
        <v>44</v>
      </c>
      <c r="K1417" s="21" t="str">
        <f>HYPERLINK("obsidian://open?vault=o2&amp;file=Install%20Nginx%20Proxy%20Manager%20on%20CasaOS.md","Install Nginx Proxy Manager on CasaOS")</f>
        <v>Install Nginx Proxy Manager on CasaOS</v>
      </c>
      <c r="L1417" s="20" t="s">
        <v>175</v>
      </c>
      <c r="M1417" s="4"/>
      <c r="N1417" s="2" t="s">
        <v>133</v>
      </c>
      <c r="O1417" s="2"/>
      <c r="P1417" s="4">
        <v>1</v>
      </c>
      <c r="Q1417" s="2" t="s">
        <v>2111</v>
      </c>
      <c r="R1417" s="11">
        <f>SUBTOTAL(3,_xlfn.SINGLE(tbl_file[RowId]))</f>
        <v>1</v>
      </c>
    </row>
    <row r="1418" spans="10:18">
      <c r="J1418" s="4">
        <v>2031</v>
      </c>
      <c r="K1418" s="21" t="str">
        <f>HYPERLINK("obsidian://open?vault=o2&amp;file=Intermediate%20packets.md","Intermediate packets")</f>
        <v>Intermediate packets</v>
      </c>
      <c r="L1418" s="20" t="s">
        <v>175</v>
      </c>
      <c r="M1418" s="4"/>
      <c r="N1418" s="2" t="s">
        <v>50</v>
      </c>
      <c r="O1418" s="2"/>
      <c r="P1418" s="4">
        <v>1</v>
      </c>
      <c r="Q1418" s="2" t="s">
        <v>1496</v>
      </c>
      <c r="R1418" s="11">
        <f>SUBTOTAL(3,_xlfn.SINGLE(tbl_file[RowId]))</f>
        <v>1</v>
      </c>
    </row>
    <row r="1419" spans="10:18">
      <c r="J1419" s="4">
        <v>2032</v>
      </c>
      <c r="K1419" s="21" t="str">
        <f>HYPERLINK("obsidian://open?vault=o2&amp;file=JM%27s%20Make.md%20notes.md","JM's Make notes")</f>
        <v>JM's Make notes</v>
      </c>
      <c r="L1419" s="20" t="s">
        <v>175</v>
      </c>
      <c r="M1419" s="4"/>
      <c r="N1419" s="2" t="s">
        <v>50</v>
      </c>
      <c r="O1419" s="2"/>
      <c r="P1419" s="4">
        <v>1</v>
      </c>
      <c r="Q1419" s="2" t="s">
        <v>1498</v>
      </c>
      <c r="R1419" s="11">
        <f>SUBTOTAL(3,_xlfn.SINGLE(tbl_file[RowId]))</f>
        <v>1</v>
      </c>
    </row>
    <row r="1420" spans="10:18">
      <c r="J1420" s="4">
        <v>2033</v>
      </c>
      <c r="K1420" s="21" t="str">
        <f>HYPERLINK("obsidian://open?vault=o2&amp;file=JM%27s%20Make.md%20notes.md","JM's Make notes")</f>
        <v>JM's Make notes</v>
      </c>
      <c r="L1420" s="20" t="s">
        <v>175</v>
      </c>
      <c r="M1420" s="4"/>
      <c r="N1420" s="2" t="s">
        <v>127</v>
      </c>
      <c r="O1420" s="2"/>
      <c r="P1420" s="4">
        <v>1</v>
      </c>
      <c r="Q1420" s="2" t="s">
        <v>1968</v>
      </c>
      <c r="R1420" s="11">
        <f>SUBTOTAL(3,_xlfn.SINGLE(tbl_file[RowId]))</f>
        <v>1</v>
      </c>
    </row>
    <row r="1421" spans="10:18">
      <c r="J1421" s="4">
        <v>2034</v>
      </c>
      <c r="K1421" s="21" t="str">
        <f>HYPERLINK("obsidian://open?vault=o2&amp;file=JM%27s%20Make.md%20notes.md","JM's Make notes")</f>
        <v>JM's Make notes</v>
      </c>
      <c r="L1421" s="20" t="s">
        <v>175</v>
      </c>
      <c r="M1421" s="4"/>
      <c r="N1421" s="2" t="s">
        <v>2606</v>
      </c>
      <c r="O1421" s="2"/>
      <c r="P1421" s="4">
        <v>1</v>
      </c>
      <c r="Q1421" s="2" t="s">
        <v>2437</v>
      </c>
      <c r="R1421" s="11">
        <f>SUBTOTAL(3,_xlfn.SINGLE(tbl_file[RowId]))</f>
        <v>1</v>
      </c>
    </row>
    <row r="1422" spans="10:18">
      <c r="J1422" s="4">
        <v>2035</v>
      </c>
      <c r="K1422" s="21" t="str">
        <f>HYPERLINK("obsidian://open?vault=o2&amp;file=John%27s%20Second%20Brain%20Subvault.md","John's Second Brain Subvault")</f>
        <v>John's Second Brain Subvault</v>
      </c>
      <c r="L1422" s="20" t="s">
        <v>175</v>
      </c>
      <c r="M1422" s="4"/>
      <c r="N1422" s="2" t="s">
        <v>50</v>
      </c>
      <c r="O1422" s="2"/>
      <c r="P1422" s="4">
        <v>3</v>
      </c>
      <c r="Q1422" s="2" t="s">
        <v>3101</v>
      </c>
      <c r="R1422" s="11">
        <f>SUBTOTAL(3,_xlfn.SINGLE(tbl_file[RowId]))</f>
        <v>1</v>
      </c>
    </row>
    <row r="1423" spans="10:18">
      <c r="J1423" s="4">
        <v>2036</v>
      </c>
      <c r="K1423" s="21" t="str">
        <f>HYPERLINK("obsidian://open?vault=o2&amp;file=John%27s%20Second%20Brain%20Subvault.md","John's Second Brain Subvault")</f>
        <v>John's Second Brain Subvault</v>
      </c>
      <c r="L1423" s="20" t="s">
        <v>175</v>
      </c>
      <c r="M1423" s="4"/>
      <c r="N1423" s="2" t="s">
        <v>118</v>
      </c>
      <c r="O1423" s="2"/>
      <c r="P1423" s="4">
        <v>1</v>
      </c>
      <c r="Q1423" s="2" t="s">
        <v>1641</v>
      </c>
      <c r="R1423" s="11">
        <f>SUBTOTAL(3,_xlfn.SINGLE(tbl_file[RowId]))</f>
        <v>1</v>
      </c>
    </row>
    <row r="1424" spans="10:18">
      <c r="J1424" s="4">
        <v>2037</v>
      </c>
      <c r="K1424" s="21" t="str">
        <f>HYPERLINK("obsidian://open?vault=o2&amp;file=John%27s%20Second%20Brain%20Subvault.md","John's Second Brain Subvault")</f>
        <v>John's Second Brain Subvault</v>
      </c>
      <c r="L1424" s="20" t="s">
        <v>175</v>
      </c>
      <c r="M1424" s="4"/>
      <c r="N1424" s="2" t="s">
        <v>123</v>
      </c>
      <c r="O1424" s="2"/>
      <c r="P1424" s="4">
        <v>1</v>
      </c>
      <c r="Q1424" s="2" t="s">
        <v>1564</v>
      </c>
      <c r="R1424" s="11">
        <f>SUBTOTAL(3,_xlfn.SINGLE(tbl_file[RowId]))</f>
        <v>1</v>
      </c>
    </row>
    <row r="1425" spans="10:18">
      <c r="J1425" s="4">
        <v>2038</v>
      </c>
      <c r="K1425" s="21" t="str">
        <f>HYPERLINK("obsidian://open?vault=o2&amp;file=John%27s%20Second%20Brain%20Subvault.md","John's Second Brain Subvault")</f>
        <v>John's Second Brain Subvault</v>
      </c>
      <c r="L1425" s="20" t="s">
        <v>175</v>
      </c>
      <c r="M1425" s="4"/>
      <c r="N1425" s="2" t="s">
        <v>129</v>
      </c>
      <c r="O1425" s="2"/>
      <c r="P1425" s="4">
        <v>1</v>
      </c>
      <c r="Q1425" s="2" t="s">
        <v>1430</v>
      </c>
      <c r="R1425" s="11">
        <f>SUBTOTAL(3,_xlfn.SINGLE(tbl_file[RowId]))</f>
        <v>1</v>
      </c>
    </row>
    <row r="1426" spans="10:18">
      <c r="J1426" s="4">
        <v>2039</v>
      </c>
      <c r="K1426" s="21" t="str">
        <f>HYPERLINK("obsidian://open?vault=o2&amp;file=John%27s%20Second%20Brain%20Subvault.md","John's Second Brain Subvault")</f>
        <v>John's Second Brain Subvault</v>
      </c>
      <c r="L1426" s="20" t="s">
        <v>175</v>
      </c>
      <c r="M1426" s="4"/>
      <c r="N1426" s="2" t="s">
        <v>2606</v>
      </c>
      <c r="O1426" s="2"/>
      <c r="P1426" s="4">
        <v>3</v>
      </c>
      <c r="Q1426" s="2" t="s">
        <v>3102</v>
      </c>
      <c r="R1426" s="11">
        <f>SUBTOTAL(3,_xlfn.SINGLE(tbl_file[RowId]))</f>
        <v>1</v>
      </c>
    </row>
    <row r="1427" spans="10:18">
      <c r="J1427" s="4">
        <v>2040</v>
      </c>
      <c r="K1427" s="21" t="str">
        <f>HYPERLINK("obsidian://open?vault=o2&amp;file=Jokologue.md","Jokologue")</f>
        <v>Jokologue</v>
      </c>
      <c r="L1427" s="20" t="s">
        <v>175</v>
      </c>
      <c r="M1427" s="4"/>
      <c r="N1427" s="2" t="s">
        <v>50</v>
      </c>
      <c r="O1427" s="2"/>
      <c r="P1427" s="4">
        <v>1</v>
      </c>
      <c r="Q1427" s="2" t="s">
        <v>1500</v>
      </c>
      <c r="R1427" s="11">
        <f>SUBTOTAL(3,_xlfn.SINGLE(tbl_file[RowId]))</f>
        <v>1</v>
      </c>
    </row>
    <row r="1428" spans="10:18">
      <c r="J1428" s="4">
        <v>2041</v>
      </c>
      <c r="K1428" s="21" t="str">
        <f>HYPERLINK("obsidian://open?vault=o2&amp;file=Jokologue.md","Jokologue")</f>
        <v>Jokologue</v>
      </c>
      <c r="L1428" s="20" t="s">
        <v>175</v>
      </c>
      <c r="M1428" s="4"/>
      <c r="N1428" s="2" t="s">
        <v>127</v>
      </c>
      <c r="O1428" s="2"/>
      <c r="P1428" s="4">
        <v>1</v>
      </c>
      <c r="Q1428" s="2" t="s">
        <v>1958</v>
      </c>
      <c r="R1428" s="11">
        <f>SUBTOTAL(3,_xlfn.SINGLE(tbl_file[RowId]))</f>
        <v>1</v>
      </c>
    </row>
    <row r="1429" spans="10:18">
      <c r="J1429" s="4">
        <v>2042</v>
      </c>
      <c r="K1429" s="21" t="str">
        <f>HYPERLINK("obsidian://open?vault=o2&amp;file=Jokologue.md","Jokologue")</f>
        <v>Jokologue</v>
      </c>
      <c r="L1429" s="20" t="s">
        <v>175</v>
      </c>
      <c r="M1429" s="4"/>
      <c r="N1429" s="2" t="s">
        <v>2606</v>
      </c>
      <c r="O1429" s="2"/>
      <c r="P1429" s="4">
        <v>4</v>
      </c>
      <c r="Q1429" s="2" t="s">
        <v>3103</v>
      </c>
      <c r="R1429" s="11">
        <f>SUBTOTAL(3,_xlfn.SINGLE(tbl_file[RowId]))</f>
        <v>1</v>
      </c>
    </row>
    <row r="1430" spans="10:18">
      <c r="J1430" s="4">
        <v>2043</v>
      </c>
      <c r="K1430" s="21" t="str">
        <f>HYPERLINK("obsidian://open?vault=o2&amp;file=Jokologue.md","Jokologue")</f>
        <v>Jokologue</v>
      </c>
      <c r="L1430" s="20" t="s">
        <v>175</v>
      </c>
      <c r="M1430" s="4"/>
      <c r="N1430" s="2" t="s">
        <v>133</v>
      </c>
      <c r="O1430" s="2"/>
      <c r="P1430" s="4">
        <v>1</v>
      </c>
      <c r="Q1430" s="2" t="s">
        <v>2614</v>
      </c>
      <c r="R1430" s="11">
        <f>SUBTOTAL(3,_xlfn.SINGLE(tbl_file[RowId]))</f>
        <v>1</v>
      </c>
    </row>
    <row r="1431" spans="10:18">
      <c r="J1431" s="4">
        <v>2044</v>
      </c>
      <c r="K1431" s="21" t="str">
        <f>HYPERLINK("obsidian://open?vault=o2&amp;file=Kanban%20Boards.md","Kanban Boards")</f>
        <v>Kanban Boards</v>
      </c>
      <c r="L1431" s="20" t="s">
        <v>175</v>
      </c>
      <c r="M1431" s="4"/>
      <c r="N1431" s="2" t="s">
        <v>50</v>
      </c>
      <c r="O1431" s="2"/>
      <c r="P1431" s="4">
        <v>1</v>
      </c>
      <c r="Q1431" s="2" t="s">
        <v>1502</v>
      </c>
      <c r="R1431" s="11">
        <f>SUBTOTAL(3,_xlfn.SINGLE(tbl_file[RowId]))</f>
        <v>1</v>
      </c>
    </row>
    <row r="1432" spans="10:18">
      <c r="J1432" s="4">
        <v>2592</v>
      </c>
      <c r="K1432" s="21" t="str">
        <f t="shared" ref="K1432:K1437" si="43">HYPERLINK("obsidian://open?vault=o2&amp;file=Kanban%20Template.md","Kanban Template")</f>
        <v>Kanban Template</v>
      </c>
      <c r="L1432" s="20" t="s">
        <v>175</v>
      </c>
      <c r="M1432" s="4"/>
      <c r="N1432" s="2" t="s">
        <v>47</v>
      </c>
      <c r="O1432" s="2"/>
      <c r="P1432" s="4">
        <v>1</v>
      </c>
      <c r="Q1432" s="2" t="s">
        <v>669</v>
      </c>
      <c r="R1432" s="11">
        <f>SUBTOTAL(3,_xlfn.SINGLE(tbl_file[RowId]))</f>
        <v>1</v>
      </c>
    </row>
    <row r="1433" spans="10:18">
      <c r="J1433" s="4">
        <v>2593</v>
      </c>
      <c r="K1433" s="21" t="str">
        <f t="shared" si="43"/>
        <v>Kanban Template</v>
      </c>
      <c r="L1433" s="20" t="s">
        <v>175</v>
      </c>
      <c r="M1433" s="4"/>
      <c r="N1433" s="2" t="s">
        <v>123</v>
      </c>
      <c r="O1433" s="2" t="s">
        <v>2635</v>
      </c>
      <c r="P1433" s="4">
        <v>1</v>
      </c>
      <c r="Q1433" s="2" t="s">
        <v>1492</v>
      </c>
      <c r="R1433" s="11">
        <f>SUBTOTAL(3,_xlfn.SINGLE(tbl_file[RowId]))</f>
        <v>1</v>
      </c>
    </row>
    <row r="1434" spans="10:18">
      <c r="J1434" s="4">
        <v>2594</v>
      </c>
      <c r="K1434" s="21" t="str">
        <f t="shared" si="43"/>
        <v>Kanban Template</v>
      </c>
      <c r="L1434" s="20" t="s">
        <v>175</v>
      </c>
      <c r="M1434" s="4"/>
      <c r="N1434" s="2" t="s">
        <v>2606</v>
      </c>
      <c r="O1434" s="2"/>
      <c r="P1434" s="4">
        <v>1</v>
      </c>
      <c r="Q1434" s="2" t="s">
        <v>2387</v>
      </c>
      <c r="R1434" s="11">
        <f>SUBTOTAL(3,_xlfn.SINGLE(tbl_file[RowId]))</f>
        <v>1</v>
      </c>
    </row>
    <row r="1435" spans="10:18">
      <c r="J1435" s="4">
        <v>2595</v>
      </c>
      <c r="K1435" s="21" t="str">
        <f t="shared" si="43"/>
        <v>Kanban Template</v>
      </c>
      <c r="L1435" s="20" t="s">
        <v>175</v>
      </c>
      <c r="M1435" s="4"/>
      <c r="N1435" s="2" t="s">
        <v>133</v>
      </c>
      <c r="O1435" s="2" t="s">
        <v>2637</v>
      </c>
      <c r="P1435" s="4">
        <v>1</v>
      </c>
      <c r="Q1435" s="2" t="s">
        <v>2113</v>
      </c>
      <c r="R1435" s="11">
        <f>SUBTOTAL(3,_xlfn.SINGLE(tbl_file[RowId]))</f>
        <v>1</v>
      </c>
    </row>
    <row r="1436" spans="10:18">
      <c r="J1436" s="4">
        <v>2596</v>
      </c>
      <c r="K1436" s="21" t="str">
        <f t="shared" si="43"/>
        <v>Kanban Template</v>
      </c>
      <c r="L1436" s="20" t="s">
        <v>175</v>
      </c>
      <c r="M1436" s="4"/>
      <c r="N1436" s="2" t="s">
        <v>135</v>
      </c>
      <c r="O1436" s="2"/>
      <c r="P1436" s="4">
        <v>1</v>
      </c>
      <c r="Q1436" s="2" t="s">
        <v>1494</v>
      </c>
      <c r="R1436" s="11">
        <f>SUBTOTAL(3,_xlfn.SINGLE(tbl_file[RowId]))</f>
        <v>1</v>
      </c>
    </row>
    <row r="1437" spans="10:18">
      <c r="J1437" s="4">
        <v>2597</v>
      </c>
      <c r="K1437" s="21" t="str">
        <f t="shared" si="43"/>
        <v>Kanban Template</v>
      </c>
      <c r="L1437" s="20" t="s">
        <v>175</v>
      </c>
      <c r="M1437" s="4" t="s">
        <v>2626</v>
      </c>
      <c r="N1437" s="2" t="s">
        <v>2606</v>
      </c>
      <c r="O1437" s="2" t="s">
        <v>2637</v>
      </c>
      <c r="P1437" s="4">
        <v>1</v>
      </c>
      <c r="Q1437" s="2" t="s">
        <v>2387</v>
      </c>
      <c r="R1437" s="11">
        <f>SUBTOTAL(3,_xlfn.SINGLE(tbl_file[RowId]))</f>
        <v>1</v>
      </c>
    </row>
    <row r="1438" spans="10:18">
      <c r="J1438" s="4">
        <v>911</v>
      </c>
      <c r="K1438" s="21" t="str">
        <f t="shared" ref="K1438:K1444" si="44">HYPERLINK("obsidian://open?vault=o2&amp;file=Ketcham-The%20Life%20of%20Abraham%20Lincoln.md","Ketcham-The Life of Abraham Lincoln")</f>
        <v>Ketcham-The Life of Abraham Lincoln</v>
      </c>
      <c r="L1438" s="20" t="s">
        <v>175</v>
      </c>
      <c r="M1438" s="4"/>
      <c r="N1438" s="2" t="s">
        <v>2917</v>
      </c>
      <c r="O1438" s="2"/>
      <c r="P1438" s="4">
        <v>1</v>
      </c>
      <c r="Q1438" s="2" t="s">
        <v>2950</v>
      </c>
      <c r="R1438" s="11">
        <f>SUBTOTAL(3,_xlfn.SINGLE(tbl_file[RowId]))</f>
        <v>1</v>
      </c>
    </row>
    <row r="1439" spans="10:18">
      <c r="J1439" s="4">
        <v>912</v>
      </c>
      <c r="K1439" s="21" t="str">
        <f t="shared" si="44"/>
        <v>Ketcham-The Life of Abraham Lincoln</v>
      </c>
      <c r="L1439" s="20" t="s">
        <v>175</v>
      </c>
      <c r="M1439" s="4"/>
      <c r="N1439" s="2" t="s">
        <v>2919</v>
      </c>
      <c r="O1439" s="2"/>
      <c r="P1439" s="4">
        <v>1</v>
      </c>
      <c r="Q1439" s="2" t="s">
        <v>2951</v>
      </c>
      <c r="R1439" s="11">
        <f>SUBTOTAL(3,_xlfn.SINGLE(tbl_file[RowId]))</f>
        <v>1</v>
      </c>
    </row>
    <row r="1440" spans="10:18">
      <c r="J1440" s="4">
        <v>913</v>
      </c>
      <c r="K1440" s="21" t="str">
        <f t="shared" si="44"/>
        <v>Ketcham-The Life of Abraham Lincoln</v>
      </c>
      <c r="L1440" s="20" t="s">
        <v>175</v>
      </c>
      <c r="M1440" s="4"/>
      <c r="N1440" s="2" t="s">
        <v>2921</v>
      </c>
      <c r="O1440" s="2" t="s">
        <v>2922</v>
      </c>
      <c r="P1440" s="4">
        <v>1</v>
      </c>
      <c r="Q1440" s="2" t="s">
        <v>2952</v>
      </c>
      <c r="R1440" s="11">
        <f>SUBTOTAL(3,_xlfn.SINGLE(tbl_file[RowId]))</f>
        <v>1</v>
      </c>
    </row>
    <row r="1441" spans="10:18">
      <c r="J1441" s="4">
        <v>914</v>
      </c>
      <c r="K1441" s="21" t="str">
        <f t="shared" si="44"/>
        <v>Ketcham-The Life of Abraham Lincoln</v>
      </c>
      <c r="L1441" s="20" t="s">
        <v>175</v>
      </c>
      <c r="M1441" s="4"/>
      <c r="N1441" s="2" t="s">
        <v>2924</v>
      </c>
      <c r="O1441" s="2" t="s">
        <v>2925</v>
      </c>
      <c r="P1441" s="4">
        <v>1</v>
      </c>
      <c r="Q1441" s="2" t="s">
        <v>2953</v>
      </c>
      <c r="R1441" s="11">
        <f>SUBTOTAL(3,_xlfn.SINGLE(tbl_file[RowId]))</f>
        <v>1</v>
      </c>
    </row>
    <row r="1442" spans="10:18">
      <c r="J1442" s="4">
        <v>915</v>
      </c>
      <c r="K1442" s="21" t="str">
        <f t="shared" si="44"/>
        <v>Ketcham-The Life of Abraham Lincoln</v>
      </c>
      <c r="L1442" s="20" t="s">
        <v>175</v>
      </c>
      <c r="M1442" s="4"/>
      <c r="N1442" s="2" t="s">
        <v>2927</v>
      </c>
      <c r="O1442" s="2" t="s">
        <v>2928</v>
      </c>
      <c r="P1442" s="4">
        <v>1</v>
      </c>
      <c r="Q1442" s="2" t="s">
        <v>2929</v>
      </c>
      <c r="R1442" s="11">
        <f>SUBTOTAL(3,_xlfn.SINGLE(tbl_file[RowId]))</f>
        <v>1</v>
      </c>
    </row>
    <row r="1443" spans="10:18">
      <c r="J1443" s="4">
        <v>916</v>
      </c>
      <c r="K1443" s="21" t="str">
        <f t="shared" si="44"/>
        <v>Ketcham-The Life of Abraham Lincoln</v>
      </c>
      <c r="L1443" s="20" t="s">
        <v>175</v>
      </c>
      <c r="M1443" s="4"/>
      <c r="N1443" s="2" t="s">
        <v>2930</v>
      </c>
      <c r="O1443" s="2" t="s">
        <v>2931</v>
      </c>
      <c r="P1443" s="4">
        <v>1</v>
      </c>
      <c r="Q1443" s="2" t="s">
        <v>2932</v>
      </c>
      <c r="R1443" s="11">
        <f>SUBTOTAL(3,_xlfn.SINGLE(tbl_file[RowId]))</f>
        <v>1</v>
      </c>
    </row>
    <row r="1444" spans="10:18">
      <c r="J1444" s="4">
        <v>917</v>
      </c>
      <c r="K1444" s="21" t="str">
        <f t="shared" si="44"/>
        <v>Ketcham-The Life of Abraham Lincoln</v>
      </c>
      <c r="L1444" s="20" t="s">
        <v>175</v>
      </c>
      <c r="M1444" s="4"/>
      <c r="N1444" s="2" t="s">
        <v>2933</v>
      </c>
      <c r="O1444" s="2"/>
      <c r="P1444" s="4">
        <v>1</v>
      </c>
      <c r="Q1444" s="2" t="s">
        <v>2954</v>
      </c>
      <c r="R1444" s="11">
        <f>SUBTOTAL(3,_xlfn.SINGLE(tbl_file[RowId]))</f>
        <v>1</v>
      </c>
    </row>
    <row r="1445" spans="10:18">
      <c r="J1445" s="4">
        <v>1293</v>
      </c>
      <c r="K1445" s="21" t="str">
        <f>HYPERLINK("obsidian://open?vault=o2&amp;file=Kitchen%20Sink.md","Kitchen Sink")</f>
        <v>Kitchen Sink</v>
      </c>
      <c r="L1445" s="20" t="s">
        <v>175</v>
      </c>
      <c r="M1445" s="4"/>
      <c r="N1445" s="2" t="s">
        <v>2606</v>
      </c>
      <c r="O1445" s="2"/>
      <c r="P1445" s="4">
        <v>1</v>
      </c>
      <c r="Q1445" s="2" t="s">
        <v>2590</v>
      </c>
      <c r="R1445" s="11">
        <f>SUBTOTAL(3,_xlfn.SINGLE(tbl_file[RowId]))</f>
        <v>1</v>
      </c>
    </row>
    <row r="1446" spans="10:18">
      <c r="J1446" s="4">
        <v>2045</v>
      </c>
      <c r="K1446" s="21" t="str">
        <f>HYPERLINK("obsidian://open?vault=o2&amp;file=Knowledge%20Assets.md","Knowledge Assets")</f>
        <v>Knowledge Assets</v>
      </c>
      <c r="L1446" s="20" t="s">
        <v>175</v>
      </c>
      <c r="M1446" s="4"/>
      <c r="N1446" s="2" t="s">
        <v>50</v>
      </c>
      <c r="O1446" s="2"/>
      <c r="P1446" s="4">
        <v>1</v>
      </c>
      <c r="Q1446" s="2" t="s">
        <v>1504</v>
      </c>
      <c r="R1446" s="11">
        <f>SUBTOTAL(3,_xlfn.SINGLE(tbl_file[RowId]))</f>
        <v>1</v>
      </c>
    </row>
    <row r="1447" spans="10:18">
      <c r="J1447" s="4">
        <v>1021</v>
      </c>
      <c r="K1447" s="21" t="str">
        <f t="shared" ref="K1447:K1452" si="45">HYPERLINK("obsidian://open?vault=o2&amp;file=Kurt%20Vonnegut%E2%80%99s%20Greatest%20Writing%20Advice.md","Kurt Vonnegut’s Greatest Writing Advice")</f>
        <v>Kurt Vonnegut’s Greatest Writing Advice</v>
      </c>
      <c r="L1447" s="20" t="s">
        <v>175</v>
      </c>
      <c r="M1447" s="4"/>
      <c r="N1447" s="2" t="s">
        <v>33</v>
      </c>
      <c r="O1447" s="2"/>
      <c r="P1447" s="4">
        <v>1</v>
      </c>
      <c r="Q1447" s="2" t="s">
        <v>487</v>
      </c>
      <c r="R1447" s="11">
        <f>SUBTOTAL(3,_xlfn.SINGLE(tbl_file[RowId]))</f>
        <v>1</v>
      </c>
    </row>
    <row r="1448" spans="10:18">
      <c r="J1448" s="4">
        <v>1022</v>
      </c>
      <c r="K1448" s="21" t="str">
        <f t="shared" si="45"/>
        <v>Kurt Vonnegut’s Greatest Writing Advice</v>
      </c>
      <c r="L1448" s="20" t="s">
        <v>175</v>
      </c>
      <c r="M1448" s="4"/>
      <c r="N1448" s="2" t="s">
        <v>50</v>
      </c>
      <c r="O1448" s="2"/>
      <c r="P1448" s="4">
        <v>1</v>
      </c>
      <c r="Q1448" s="2" t="s">
        <v>1684</v>
      </c>
      <c r="R1448" s="11">
        <f>SUBTOTAL(3,_xlfn.SINGLE(tbl_file[RowId]))</f>
        <v>1</v>
      </c>
    </row>
    <row r="1449" spans="10:18">
      <c r="J1449" s="4">
        <v>1023</v>
      </c>
      <c r="K1449" s="21" t="str">
        <f t="shared" si="45"/>
        <v>Kurt Vonnegut’s Greatest Writing Advice</v>
      </c>
      <c r="L1449" s="20" t="s">
        <v>175</v>
      </c>
      <c r="M1449" s="4"/>
      <c r="N1449" s="2" t="s">
        <v>121</v>
      </c>
      <c r="O1449" s="2"/>
      <c r="P1449" s="4">
        <v>1</v>
      </c>
      <c r="Q1449" s="2" t="s">
        <v>1849</v>
      </c>
      <c r="R1449" s="11">
        <f>SUBTOTAL(3,_xlfn.SINGLE(tbl_file[RowId]))</f>
        <v>1</v>
      </c>
    </row>
    <row r="1450" spans="10:18">
      <c r="J1450" s="4">
        <v>1024</v>
      </c>
      <c r="K1450" s="21" t="str">
        <f t="shared" si="45"/>
        <v>Kurt Vonnegut’s Greatest Writing Advice</v>
      </c>
      <c r="L1450" s="20" t="s">
        <v>175</v>
      </c>
      <c r="M1450" s="4"/>
      <c r="N1450" s="2" t="s">
        <v>2606</v>
      </c>
      <c r="O1450" s="2"/>
      <c r="P1450" s="4">
        <v>2</v>
      </c>
      <c r="Q1450" s="2" t="s">
        <v>2974</v>
      </c>
      <c r="R1450" s="11">
        <f>SUBTOTAL(3,_xlfn.SINGLE(tbl_file[RowId]))</f>
        <v>1</v>
      </c>
    </row>
    <row r="1451" spans="10:18">
      <c r="J1451" s="4">
        <v>1025</v>
      </c>
      <c r="K1451" s="21" t="str">
        <f t="shared" si="45"/>
        <v>Kurt Vonnegut’s Greatest Writing Advice</v>
      </c>
      <c r="L1451" s="20" t="s">
        <v>175</v>
      </c>
      <c r="M1451" s="4"/>
      <c r="N1451" s="2" t="s">
        <v>132</v>
      </c>
      <c r="O1451" s="2"/>
      <c r="P1451" s="4">
        <v>1</v>
      </c>
      <c r="Q1451" s="2" t="s">
        <v>2069</v>
      </c>
      <c r="R1451" s="11">
        <f>SUBTOTAL(3,_xlfn.SINGLE(tbl_file[RowId]))</f>
        <v>1</v>
      </c>
    </row>
    <row r="1452" spans="10:18">
      <c r="J1452" s="4">
        <v>1026</v>
      </c>
      <c r="K1452" s="21" t="str">
        <f t="shared" si="45"/>
        <v>Kurt Vonnegut’s Greatest Writing Advice</v>
      </c>
      <c r="L1452" s="20" t="s">
        <v>175</v>
      </c>
      <c r="M1452" s="4"/>
      <c r="N1452" s="2" t="s">
        <v>137</v>
      </c>
      <c r="O1452" s="2"/>
      <c r="P1452" s="4">
        <v>1</v>
      </c>
      <c r="Q1452" s="2" t="s">
        <v>2159</v>
      </c>
      <c r="R1452" s="11">
        <f>SUBTOTAL(3,_xlfn.SINGLE(tbl_file[RowId]))</f>
        <v>1</v>
      </c>
    </row>
    <row r="1453" spans="10:18">
      <c r="J1453" s="4">
        <v>2046</v>
      </c>
      <c r="K1453" s="21" t="str">
        <f>HYPERLINK("obsidian://open?vault=o2&amp;file=Latest%20Network%20Mappings.md","Latest Network Mappings")</f>
        <v>Latest Network Mappings</v>
      </c>
      <c r="L1453" s="20" t="s">
        <v>175</v>
      </c>
      <c r="M1453" s="4"/>
      <c r="N1453" s="2" t="s">
        <v>50</v>
      </c>
      <c r="O1453" s="2"/>
      <c r="P1453" s="4">
        <v>2</v>
      </c>
      <c r="Q1453" s="2" t="s">
        <v>3104</v>
      </c>
      <c r="R1453" s="11">
        <f>SUBTOTAL(3,_xlfn.SINGLE(tbl_file[RowId]))</f>
        <v>1</v>
      </c>
    </row>
    <row r="1454" spans="10:18">
      <c r="J1454" s="4">
        <v>2047</v>
      </c>
      <c r="K1454" s="21" t="str">
        <f>HYPERLINK("obsidian://open?vault=o2&amp;file=Latest%20Network%20Mappings.md","Latest Network Mappings")</f>
        <v>Latest Network Mappings</v>
      </c>
      <c r="L1454" s="20" t="s">
        <v>175</v>
      </c>
      <c r="M1454" s="4"/>
      <c r="N1454" s="2" t="s">
        <v>127</v>
      </c>
      <c r="O1454" s="2"/>
      <c r="P1454" s="4">
        <v>1</v>
      </c>
      <c r="Q1454" s="2" t="s">
        <v>1960</v>
      </c>
      <c r="R1454" s="11">
        <f>SUBTOTAL(3,_xlfn.SINGLE(tbl_file[RowId]))</f>
        <v>1</v>
      </c>
    </row>
    <row r="1455" spans="10:18">
      <c r="J1455" s="4">
        <v>2048</v>
      </c>
      <c r="K1455" s="21" t="str">
        <f>HYPERLINK("obsidian://open?vault=o2&amp;file=Latest%20Network%20Mappings.md","Latest Network Mappings")</f>
        <v>Latest Network Mappings</v>
      </c>
      <c r="L1455" s="20" t="s">
        <v>175</v>
      </c>
      <c r="M1455" s="4"/>
      <c r="N1455" s="2" t="s">
        <v>2606</v>
      </c>
      <c r="O1455" s="2"/>
      <c r="P1455" s="4">
        <v>4</v>
      </c>
      <c r="Q1455" s="2" t="s">
        <v>3105</v>
      </c>
      <c r="R1455" s="11">
        <f>SUBTOTAL(3,_xlfn.SINGLE(tbl_file[RowId]))</f>
        <v>1</v>
      </c>
    </row>
    <row r="1456" spans="10:18">
      <c r="J1456" s="4">
        <v>2049</v>
      </c>
      <c r="K1456" s="21" t="str">
        <f>HYPERLINK("obsidian://open?vault=o2&amp;file=Latest%20Network%20Mappings.md","Latest Network Mappings")</f>
        <v>Latest Network Mappings</v>
      </c>
      <c r="L1456" s="20" t="s">
        <v>175</v>
      </c>
      <c r="M1456" s="4"/>
      <c r="N1456" s="2" t="s">
        <v>133</v>
      </c>
      <c r="O1456" s="2"/>
      <c r="P1456" s="4">
        <v>1</v>
      </c>
      <c r="Q1456" s="2" t="s">
        <v>2107</v>
      </c>
      <c r="R1456" s="11">
        <f>SUBTOTAL(3,_xlfn.SINGLE(tbl_file[RowId]))</f>
        <v>1</v>
      </c>
    </row>
    <row r="1457" spans="10:18">
      <c r="J1457" s="4">
        <v>2050</v>
      </c>
      <c r="K1457" s="21" t="str">
        <f t="shared" ref="K1457:K1464" si="46">HYPERLINK("obsidian://open?vault=o2&amp;file=Learn%20Python%20in%20Y%20Minutes.md","Learn Python in Y Minutes")</f>
        <v>Learn Python in Y Minutes</v>
      </c>
      <c r="L1457" s="20" t="s">
        <v>175</v>
      </c>
      <c r="M1457" s="4"/>
      <c r="N1457" s="2" t="s">
        <v>33</v>
      </c>
      <c r="O1457" s="2"/>
      <c r="P1457" s="4">
        <v>1</v>
      </c>
      <c r="Q1457" s="2" t="s">
        <v>457</v>
      </c>
      <c r="R1457" s="11">
        <f>SUBTOTAL(3,_xlfn.SINGLE(tbl_file[RowId]))</f>
        <v>1</v>
      </c>
    </row>
    <row r="1458" spans="10:18">
      <c r="J1458" s="4">
        <v>2051</v>
      </c>
      <c r="K1458" s="21" t="str">
        <f t="shared" si="46"/>
        <v>Learn Python in Y Minutes</v>
      </c>
      <c r="L1458" s="20" t="s">
        <v>175</v>
      </c>
      <c r="M1458" s="4"/>
      <c r="N1458" s="2" t="s">
        <v>50</v>
      </c>
      <c r="O1458" s="2"/>
      <c r="P1458" s="4">
        <v>1</v>
      </c>
      <c r="Q1458" s="2" t="s">
        <v>1508</v>
      </c>
      <c r="R1458" s="11">
        <f>SUBTOTAL(3,_xlfn.SINGLE(tbl_file[RowId]))</f>
        <v>1</v>
      </c>
    </row>
    <row r="1459" spans="10:18">
      <c r="J1459" s="4">
        <v>2052</v>
      </c>
      <c r="K1459" s="21" t="str">
        <f t="shared" si="46"/>
        <v>Learn Python in Y Minutes</v>
      </c>
      <c r="L1459" s="20" t="s">
        <v>175</v>
      </c>
      <c r="M1459" s="4"/>
      <c r="N1459" s="2" t="s">
        <v>118</v>
      </c>
      <c r="O1459" s="2"/>
      <c r="P1459" s="4">
        <v>1</v>
      </c>
      <c r="Q1459" s="2" t="s">
        <v>1802</v>
      </c>
      <c r="R1459" s="11">
        <f>SUBTOTAL(3,_xlfn.SINGLE(tbl_file[RowId]))</f>
        <v>1</v>
      </c>
    </row>
    <row r="1460" spans="10:18">
      <c r="J1460" s="4">
        <v>2053</v>
      </c>
      <c r="K1460" s="21" t="str">
        <f t="shared" si="46"/>
        <v>Learn Python in Y Minutes</v>
      </c>
      <c r="L1460" s="20" t="s">
        <v>175</v>
      </c>
      <c r="M1460" s="4"/>
      <c r="N1460" s="2" t="s">
        <v>123</v>
      </c>
      <c r="O1460" s="2" t="s">
        <v>2635</v>
      </c>
      <c r="P1460" s="4">
        <v>1</v>
      </c>
      <c r="Q1460" s="2" t="s">
        <v>1813</v>
      </c>
      <c r="R1460" s="11">
        <f>SUBTOTAL(3,_xlfn.SINGLE(tbl_file[RowId]))</f>
        <v>1</v>
      </c>
    </row>
    <row r="1461" spans="10:18">
      <c r="J1461" s="4">
        <v>2054</v>
      </c>
      <c r="K1461" s="21" t="str">
        <f t="shared" si="46"/>
        <v>Learn Python in Y Minutes</v>
      </c>
      <c r="L1461" s="20" t="s">
        <v>175</v>
      </c>
      <c r="M1461" s="4"/>
      <c r="N1461" s="2" t="s">
        <v>127</v>
      </c>
      <c r="O1461" s="2"/>
      <c r="P1461" s="4">
        <v>1</v>
      </c>
      <c r="Q1461" s="2" t="s">
        <v>1958</v>
      </c>
      <c r="R1461" s="11">
        <f>SUBTOTAL(3,_xlfn.SINGLE(tbl_file[RowId]))</f>
        <v>1</v>
      </c>
    </row>
    <row r="1462" spans="10:18">
      <c r="J1462" s="4">
        <v>2055</v>
      </c>
      <c r="K1462" s="21" t="str">
        <f t="shared" si="46"/>
        <v>Learn Python in Y Minutes</v>
      </c>
      <c r="L1462" s="20" t="s">
        <v>175</v>
      </c>
      <c r="M1462" s="4"/>
      <c r="N1462" s="2" t="s">
        <v>2606</v>
      </c>
      <c r="O1462" s="2"/>
      <c r="P1462" s="4">
        <v>3</v>
      </c>
      <c r="Q1462" s="2" t="s">
        <v>3106</v>
      </c>
      <c r="R1462" s="11">
        <f>SUBTOTAL(3,_xlfn.SINGLE(tbl_file[RowId]))</f>
        <v>1</v>
      </c>
    </row>
    <row r="1463" spans="10:18">
      <c r="J1463" s="4">
        <v>2056</v>
      </c>
      <c r="K1463" s="21" t="str">
        <f t="shared" si="46"/>
        <v>Learn Python in Y Minutes</v>
      </c>
      <c r="L1463" s="20" t="s">
        <v>175</v>
      </c>
      <c r="M1463" s="4"/>
      <c r="N1463" s="2" t="s">
        <v>132</v>
      </c>
      <c r="O1463" s="2"/>
      <c r="P1463" s="4">
        <v>1</v>
      </c>
      <c r="Q1463" s="2" t="s">
        <v>2071</v>
      </c>
      <c r="R1463" s="11">
        <f>SUBTOTAL(3,_xlfn.SINGLE(tbl_file[RowId]))</f>
        <v>1</v>
      </c>
    </row>
    <row r="1464" spans="10:18">
      <c r="J1464" s="4">
        <v>2057</v>
      </c>
      <c r="K1464" s="21" t="str">
        <f t="shared" si="46"/>
        <v>Learn Python in Y Minutes</v>
      </c>
      <c r="L1464" s="20" t="s">
        <v>175</v>
      </c>
      <c r="M1464" s="4"/>
      <c r="N1464" s="2" t="s">
        <v>137</v>
      </c>
      <c r="O1464" s="2"/>
      <c r="P1464" s="4">
        <v>1</v>
      </c>
      <c r="Q1464" s="2" t="s">
        <v>2169</v>
      </c>
      <c r="R1464" s="11">
        <f>SUBTOTAL(3,_xlfn.SINGLE(tbl_file[RowId]))</f>
        <v>1</v>
      </c>
    </row>
    <row r="1465" spans="10:18">
      <c r="J1465" s="4">
        <v>168</v>
      </c>
      <c r="K1465" s="21" t="str">
        <f>HYPERLINK("obsidian://open?vault=o2&amp;file=Log%20Serial%20Numbers.md","Log Serial Numbers")</f>
        <v>Log Serial Numbers</v>
      </c>
      <c r="L1465" s="20" t="s">
        <v>175</v>
      </c>
      <c r="M1465" s="4"/>
      <c r="N1465" s="2" t="s">
        <v>50</v>
      </c>
      <c r="O1465" s="2"/>
      <c r="P1465" s="4">
        <v>1</v>
      </c>
      <c r="Q1465" s="2" t="s">
        <v>1631</v>
      </c>
      <c r="R1465" s="11">
        <f>SUBTOTAL(3,_xlfn.SINGLE(tbl_file[RowId]))</f>
        <v>1</v>
      </c>
    </row>
    <row r="1466" spans="10:18">
      <c r="J1466" s="4">
        <v>169</v>
      </c>
      <c r="K1466" s="21" t="str">
        <f>HYPERLINK("obsidian://open?vault=o2&amp;file=Log%20Serial%20Numbers.md","Log Serial Numbers")</f>
        <v>Log Serial Numbers</v>
      </c>
      <c r="L1466" s="20" t="s">
        <v>175</v>
      </c>
      <c r="M1466" s="4"/>
      <c r="N1466" s="2" t="s">
        <v>2606</v>
      </c>
      <c r="O1466" s="2"/>
      <c r="P1466" s="4">
        <v>1</v>
      </c>
      <c r="Q1466" s="2" t="s">
        <v>2369</v>
      </c>
      <c r="R1466" s="11">
        <f>SUBTOTAL(3,_xlfn.SINGLE(tbl_file[RowId]))</f>
        <v>1</v>
      </c>
    </row>
    <row r="1467" spans="10:18">
      <c r="J1467" s="4">
        <v>380</v>
      </c>
      <c r="K1467" s="21" t="str">
        <f>HYPERLINK("obsidian://open?vault=o2&amp;file=Loved%20ones%20I%20pray%20for.md","Loved ones I pray for")</f>
        <v>Loved ones I pray for</v>
      </c>
      <c r="L1467" s="20" t="s">
        <v>175</v>
      </c>
      <c r="M1467" s="4"/>
      <c r="N1467" s="2" t="s">
        <v>11</v>
      </c>
      <c r="O1467" s="2"/>
      <c r="P1467" s="4">
        <v>1</v>
      </c>
      <c r="Q1467" s="2" t="s">
        <v>220</v>
      </c>
      <c r="R1467" s="11">
        <f>SUBTOTAL(3,_xlfn.SINGLE(tbl_file[RowId]))</f>
        <v>1</v>
      </c>
    </row>
    <row r="1468" spans="10:18">
      <c r="J1468" s="4">
        <v>381</v>
      </c>
      <c r="K1468" s="21" t="str">
        <f>HYPERLINK("obsidian://open?vault=o2&amp;file=Loved%20ones%20I%20pray%20for.md","Loved ones I pray for")</f>
        <v>Loved ones I pray for</v>
      </c>
      <c r="L1468" s="20" t="s">
        <v>175</v>
      </c>
      <c r="M1468" s="4"/>
      <c r="N1468" s="2" t="s">
        <v>50</v>
      </c>
      <c r="O1468" s="2"/>
      <c r="P1468" s="4">
        <v>3</v>
      </c>
      <c r="Q1468" s="2" t="s">
        <v>2676</v>
      </c>
      <c r="R1468" s="11">
        <f>SUBTOTAL(3,_xlfn.SINGLE(tbl_file[RowId]))</f>
        <v>1</v>
      </c>
    </row>
    <row r="1469" spans="10:18">
      <c r="J1469" s="4">
        <v>382</v>
      </c>
      <c r="K1469" s="21" t="str">
        <f>HYPERLINK("obsidian://open?vault=o2&amp;file=Loved%20ones%20I%20pray%20for.md","Loved ones I pray for")</f>
        <v>Loved ones I pray for</v>
      </c>
      <c r="L1469" s="20" t="s">
        <v>175</v>
      </c>
      <c r="M1469" s="4"/>
      <c r="N1469" s="2" t="s">
        <v>127</v>
      </c>
      <c r="O1469" s="2"/>
      <c r="P1469" s="4">
        <v>1</v>
      </c>
      <c r="Q1469" s="2" t="s">
        <v>1958</v>
      </c>
      <c r="R1469" s="11">
        <f>SUBTOTAL(3,_xlfn.SINGLE(tbl_file[RowId]))</f>
        <v>1</v>
      </c>
    </row>
    <row r="1470" spans="10:18">
      <c r="J1470" s="4">
        <v>383</v>
      </c>
      <c r="K1470" s="21" t="str">
        <f>HYPERLINK("obsidian://open?vault=o2&amp;file=Loved%20ones%20I%20pray%20for.md","Loved ones I pray for")</f>
        <v>Loved ones I pray for</v>
      </c>
      <c r="L1470" s="20" t="s">
        <v>175</v>
      </c>
      <c r="M1470" s="4"/>
      <c r="N1470" s="2" t="s">
        <v>2606</v>
      </c>
      <c r="O1470" s="2"/>
      <c r="P1470" s="4">
        <v>3</v>
      </c>
      <c r="Q1470" s="2" t="s">
        <v>2673</v>
      </c>
      <c r="R1470" s="11">
        <f>SUBTOTAL(3,_xlfn.SINGLE(tbl_file[RowId]))</f>
        <v>1</v>
      </c>
    </row>
    <row r="1471" spans="10:18">
      <c r="J1471" s="4">
        <v>384</v>
      </c>
      <c r="K1471" s="21" t="str">
        <f>HYPERLINK("obsidian://open?vault=o2&amp;file=Loved%20ones%20I%20pray%20for.md","Loved ones I pray for")</f>
        <v>Loved ones I pray for</v>
      </c>
      <c r="L1471" s="20" t="s">
        <v>175</v>
      </c>
      <c r="M1471" s="4"/>
      <c r="N1471" s="2" t="s">
        <v>133</v>
      </c>
      <c r="O1471" s="2"/>
      <c r="P1471" s="4">
        <v>1</v>
      </c>
      <c r="Q1471" s="2" t="s">
        <v>2111</v>
      </c>
      <c r="R1471" s="11">
        <f>SUBTOTAL(3,_xlfn.SINGLE(tbl_file[RowId]))</f>
        <v>1</v>
      </c>
    </row>
    <row r="1472" spans="10:18">
      <c r="J1472" s="4">
        <v>1210</v>
      </c>
      <c r="K1472" s="21" t="str">
        <f>HYPERLINK("obsidian://open?vault=o2&amp;file=Mac%20Keyboard%20Shortcuts.md","Mac Keyboard Shortcuts")</f>
        <v>Mac Keyboard Shortcuts</v>
      </c>
      <c r="L1472" s="20" t="s">
        <v>175</v>
      </c>
      <c r="M1472" s="4"/>
      <c r="N1472" s="2" t="s">
        <v>133</v>
      </c>
      <c r="O1472" s="2"/>
      <c r="P1472" s="4">
        <v>1</v>
      </c>
      <c r="Q1472" s="2" t="s">
        <v>2693</v>
      </c>
      <c r="R1472" s="11">
        <f>SUBTOTAL(3,_xlfn.SINGLE(tbl_file[RowId]))</f>
        <v>1</v>
      </c>
    </row>
    <row r="1473" spans="10:18">
      <c r="J1473" s="4">
        <v>1209</v>
      </c>
      <c r="K1473" s="21" t="str">
        <f>HYPERLINK("obsidian://open?vault=o2&amp;file=Mac%20Keyboard%20Shortcuts-Win%20KB.md","Mac Keyboard Shortcuts-Win KB")</f>
        <v>Mac Keyboard Shortcuts-Win KB</v>
      </c>
      <c r="L1473" s="20" t="s">
        <v>175</v>
      </c>
      <c r="M1473" s="4"/>
      <c r="N1473" s="2" t="s">
        <v>133</v>
      </c>
      <c r="O1473" s="2"/>
      <c r="P1473" s="4">
        <v>1</v>
      </c>
      <c r="Q1473" s="2" t="s">
        <v>2693</v>
      </c>
      <c r="R1473" s="11">
        <f>SUBTOTAL(3,_xlfn.SINGLE(tbl_file[RowId]))</f>
        <v>1</v>
      </c>
    </row>
    <row r="1474" spans="10:18">
      <c r="J1474" s="4">
        <v>2058</v>
      </c>
      <c r="K1474" s="21" t="str">
        <f>HYPERLINK("obsidian://open?vault=o2&amp;file=Magazines%20Ordered%20Jan-2023.md","Magazines Ordered Jan-2023")</f>
        <v>Magazines Ordered Jan-2023</v>
      </c>
      <c r="L1474" s="20" t="s">
        <v>175</v>
      </c>
      <c r="M1474" s="4"/>
      <c r="N1474" s="2" t="s">
        <v>50</v>
      </c>
      <c r="O1474" s="2"/>
      <c r="P1474" s="4">
        <v>1</v>
      </c>
      <c r="Q1474" s="2" t="s">
        <v>1510</v>
      </c>
      <c r="R1474" s="11">
        <f>SUBTOTAL(3,_xlfn.SINGLE(tbl_file[RowId]))</f>
        <v>1</v>
      </c>
    </row>
    <row r="1475" spans="10:18">
      <c r="J1475" s="4">
        <v>2059</v>
      </c>
      <c r="K1475" s="21" t="str">
        <f>HYPERLINK("obsidian://open?vault=o2&amp;file=Magazines%20Ordered%20Jan-2023.md","Magazines Ordered Jan-2023")</f>
        <v>Magazines Ordered Jan-2023</v>
      </c>
      <c r="L1475" s="20" t="s">
        <v>175</v>
      </c>
      <c r="M1475" s="4"/>
      <c r="N1475" s="2" t="s">
        <v>127</v>
      </c>
      <c r="O1475" s="2"/>
      <c r="P1475" s="4">
        <v>1</v>
      </c>
      <c r="Q1475" s="2" t="s">
        <v>1946</v>
      </c>
      <c r="R1475" s="11">
        <f>SUBTOTAL(3,_xlfn.SINGLE(tbl_file[RowId]))</f>
        <v>1</v>
      </c>
    </row>
    <row r="1476" spans="10:18">
      <c r="J1476" s="4">
        <v>2060</v>
      </c>
      <c r="K1476" s="21" t="str">
        <f>HYPERLINK("obsidian://open?vault=o2&amp;file=Magazines%20Ordered%20Jan-2023.md","Magazines Ordered Jan-2023")</f>
        <v>Magazines Ordered Jan-2023</v>
      </c>
      <c r="L1476" s="20" t="s">
        <v>175</v>
      </c>
      <c r="M1476" s="4"/>
      <c r="N1476" s="2" t="s">
        <v>2606</v>
      </c>
      <c r="O1476" s="2"/>
      <c r="P1476" s="4">
        <v>3</v>
      </c>
      <c r="Q1476" s="2" t="s">
        <v>3107</v>
      </c>
      <c r="R1476" s="11">
        <f>SUBTOTAL(3,_xlfn.SINGLE(tbl_file[RowId]))</f>
        <v>1</v>
      </c>
    </row>
    <row r="1477" spans="10:18">
      <c r="J1477" s="4">
        <v>2061</v>
      </c>
      <c r="K1477" s="21" t="str">
        <f t="shared" ref="K1477:K1482" si="47">HYPERLINK("obsidian://open?vault=o2&amp;file=Maintain%20notes%20that%20you%20revisit.md","Maintain notes that you revisit")</f>
        <v>Maintain notes that you revisit</v>
      </c>
      <c r="L1477" s="20" t="s">
        <v>175</v>
      </c>
      <c r="M1477" s="4"/>
      <c r="N1477" s="2" t="s">
        <v>50</v>
      </c>
      <c r="O1477" s="2"/>
      <c r="P1477" s="4">
        <v>5</v>
      </c>
      <c r="Q1477" s="2" t="s">
        <v>3108</v>
      </c>
      <c r="R1477" s="11">
        <f>SUBTOTAL(3,_xlfn.SINGLE(tbl_file[RowId]))</f>
        <v>1</v>
      </c>
    </row>
    <row r="1478" spans="10:18">
      <c r="J1478" s="4">
        <v>2062</v>
      </c>
      <c r="K1478" s="21" t="str">
        <f t="shared" si="47"/>
        <v>Maintain notes that you revisit</v>
      </c>
      <c r="L1478" s="20" t="s">
        <v>175</v>
      </c>
      <c r="M1478" s="4"/>
      <c r="N1478" s="2" t="s">
        <v>118</v>
      </c>
      <c r="O1478" s="2"/>
      <c r="P1478" s="4">
        <v>1</v>
      </c>
      <c r="Q1478" s="2" t="s">
        <v>1641</v>
      </c>
      <c r="R1478" s="11">
        <f>SUBTOTAL(3,_xlfn.SINGLE(tbl_file[RowId]))</f>
        <v>1</v>
      </c>
    </row>
    <row r="1479" spans="10:18">
      <c r="J1479" s="4">
        <v>2063</v>
      </c>
      <c r="K1479" s="21" t="str">
        <f t="shared" si="47"/>
        <v>Maintain notes that you revisit</v>
      </c>
      <c r="L1479" s="20" t="s">
        <v>175</v>
      </c>
      <c r="M1479" s="4"/>
      <c r="N1479" s="2" t="s">
        <v>123</v>
      </c>
      <c r="O1479" s="2"/>
      <c r="P1479" s="4">
        <v>1</v>
      </c>
      <c r="Q1479" s="2" t="s">
        <v>1564</v>
      </c>
      <c r="R1479" s="11">
        <f>SUBTOTAL(3,_xlfn.SINGLE(tbl_file[RowId]))</f>
        <v>1</v>
      </c>
    </row>
    <row r="1480" spans="10:18">
      <c r="J1480" s="4">
        <v>2064</v>
      </c>
      <c r="K1480" s="21" t="str">
        <f t="shared" si="47"/>
        <v>Maintain notes that you revisit</v>
      </c>
      <c r="L1480" s="20" t="s">
        <v>175</v>
      </c>
      <c r="M1480" s="4"/>
      <c r="N1480" s="2" t="s">
        <v>127</v>
      </c>
      <c r="O1480" s="2"/>
      <c r="P1480" s="4">
        <v>1</v>
      </c>
      <c r="Q1480" s="2" t="s">
        <v>1960</v>
      </c>
      <c r="R1480" s="11">
        <f>SUBTOTAL(3,_xlfn.SINGLE(tbl_file[RowId]))</f>
        <v>1</v>
      </c>
    </row>
    <row r="1481" spans="10:18">
      <c r="J1481" s="4">
        <v>2065</v>
      </c>
      <c r="K1481" s="21" t="str">
        <f t="shared" si="47"/>
        <v>Maintain notes that you revisit</v>
      </c>
      <c r="L1481" s="20" t="s">
        <v>175</v>
      </c>
      <c r="M1481" s="4"/>
      <c r="N1481" s="2" t="s">
        <v>129</v>
      </c>
      <c r="O1481" s="2"/>
      <c r="P1481" s="4">
        <v>1</v>
      </c>
      <c r="Q1481" s="2" t="s">
        <v>1430</v>
      </c>
      <c r="R1481" s="11">
        <f>SUBTOTAL(3,_xlfn.SINGLE(tbl_file[RowId]))</f>
        <v>1</v>
      </c>
    </row>
    <row r="1482" spans="10:18">
      <c r="J1482" s="4">
        <v>2066</v>
      </c>
      <c r="K1482" s="21" t="str">
        <f t="shared" si="47"/>
        <v>Maintain notes that you revisit</v>
      </c>
      <c r="L1482" s="20" t="s">
        <v>175</v>
      </c>
      <c r="M1482" s="4"/>
      <c r="N1482" s="2" t="s">
        <v>2606</v>
      </c>
      <c r="O1482" s="2"/>
      <c r="P1482" s="4">
        <v>1</v>
      </c>
      <c r="Q1482" s="2" t="s">
        <v>2420</v>
      </c>
      <c r="R1482" s="11">
        <f>SUBTOTAL(3,_xlfn.SINGLE(tbl_file[RowId]))</f>
        <v>1</v>
      </c>
    </row>
    <row r="1483" spans="10:18">
      <c r="J1483" s="4">
        <v>2067</v>
      </c>
      <c r="K1483" s="21" t="str">
        <f>HYPERLINK("obsidian://open?vault=o2&amp;file=Make%20a%20USB%20CasaOS%20Recovery%20Drive.md","Make a USB CasaOS Recovery Drive")</f>
        <v>Make a USB CasaOS Recovery Drive</v>
      </c>
      <c r="L1483" s="20" t="s">
        <v>175</v>
      </c>
      <c r="M1483" s="4"/>
      <c r="N1483" s="2" t="s">
        <v>50</v>
      </c>
      <c r="O1483" s="2"/>
      <c r="P1483" s="4">
        <v>1</v>
      </c>
      <c r="Q1483" s="2" t="s">
        <v>1474</v>
      </c>
      <c r="R1483" s="11">
        <f>SUBTOTAL(3,_xlfn.SINGLE(tbl_file[RowId]))</f>
        <v>1</v>
      </c>
    </row>
    <row r="1484" spans="10:18">
      <c r="J1484" s="4">
        <v>2068</v>
      </c>
      <c r="K1484" s="21" t="str">
        <f>HYPERLINK("obsidian://open?vault=o2&amp;file=Make%20a%20USB%20CasaOS%20Recovery%20Drive.md","Make a USB CasaOS Recovery Drive")</f>
        <v>Make a USB CasaOS Recovery Drive</v>
      </c>
      <c r="L1484" s="20" t="s">
        <v>175</v>
      </c>
      <c r="M1484" s="4"/>
      <c r="N1484" s="2" t="s">
        <v>2606</v>
      </c>
      <c r="O1484" s="2"/>
      <c r="P1484" s="4">
        <v>1</v>
      </c>
      <c r="Q1484" s="2" t="s">
        <v>2293</v>
      </c>
      <c r="R1484" s="11">
        <f>SUBTOTAL(3,_xlfn.SINGLE(tbl_file[RowId]))</f>
        <v>1</v>
      </c>
    </row>
    <row r="1485" spans="10:18">
      <c r="J1485" s="4">
        <v>2069</v>
      </c>
      <c r="K1485" s="21" t="str">
        <f>HYPERLINK("obsidian://open?vault=o2&amp;file=Make%20a%20USB%20CasaOS%20Recovery%20Drive.md","Make a USB CasaOS Recovery Drive")</f>
        <v>Make a USB CasaOS Recovery Drive</v>
      </c>
      <c r="L1485" s="20" t="s">
        <v>175</v>
      </c>
      <c r="M1485" s="4"/>
      <c r="N1485" s="2" t="s">
        <v>133</v>
      </c>
      <c r="O1485" s="2"/>
      <c r="P1485" s="4">
        <v>1</v>
      </c>
      <c r="Q1485" s="2" t="s">
        <v>2107</v>
      </c>
      <c r="R1485" s="11">
        <f>SUBTOTAL(3,_xlfn.SINGLE(tbl_file[RowId]))</f>
        <v>1</v>
      </c>
    </row>
    <row r="1486" spans="10:18">
      <c r="J1486" s="4">
        <v>2070</v>
      </c>
      <c r="K1486" s="21" t="str">
        <f>HYPERLINK("obsidian://open?vault=o2&amp;file=Make%20file%20metadata%20and%20properties%20separate%20concepts.md","Make file metadata and properties separate concepts")</f>
        <v>Make file metadata and properties separate concepts</v>
      </c>
      <c r="L1486" s="20" t="s">
        <v>175</v>
      </c>
      <c r="M1486" s="4"/>
      <c r="N1486" s="2" t="s">
        <v>50</v>
      </c>
      <c r="O1486" s="2"/>
      <c r="P1486" s="4">
        <v>1</v>
      </c>
      <c r="Q1486" s="2" t="s">
        <v>1512</v>
      </c>
      <c r="R1486" s="11">
        <f>SUBTOTAL(3,_xlfn.SINGLE(tbl_file[RowId]))</f>
        <v>1</v>
      </c>
    </row>
    <row r="1487" spans="10:18">
      <c r="J1487" s="4">
        <v>2071</v>
      </c>
      <c r="K1487" s="21" t="str">
        <f>HYPERLINK("obsidian://open?vault=o2&amp;file=Make%20file%20metadata%20and%20properties%20separate%20concepts.md","Make file metadata and properties separate concepts")</f>
        <v>Make file metadata and properties separate concepts</v>
      </c>
      <c r="L1487" s="20" t="s">
        <v>175</v>
      </c>
      <c r="M1487" s="4"/>
      <c r="N1487" s="2" t="s">
        <v>127</v>
      </c>
      <c r="O1487" s="2"/>
      <c r="P1487" s="4">
        <v>1</v>
      </c>
      <c r="Q1487" s="2" t="s">
        <v>1958</v>
      </c>
      <c r="R1487" s="11">
        <f>SUBTOTAL(3,_xlfn.SINGLE(tbl_file[RowId]))</f>
        <v>1</v>
      </c>
    </row>
    <row r="1488" spans="10:18">
      <c r="J1488" s="4">
        <v>2072</v>
      </c>
      <c r="K1488" s="21" t="str">
        <f>HYPERLINK("obsidian://open?vault=o2&amp;file=Make%20file%20metadata%20and%20properties%20separate%20concepts.md","Make file metadata and properties separate concepts")</f>
        <v>Make file metadata and properties separate concepts</v>
      </c>
      <c r="L1488" s="20" t="s">
        <v>175</v>
      </c>
      <c r="M1488" s="4"/>
      <c r="N1488" s="2" t="s">
        <v>2606</v>
      </c>
      <c r="O1488" s="2"/>
      <c r="P1488" s="4">
        <v>4</v>
      </c>
      <c r="Q1488" s="2" t="s">
        <v>2642</v>
      </c>
      <c r="R1488" s="11">
        <f>SUBTOTAL(3,_xlfn.SINGLE(tbl_file[RowId]))</f>
        <v>1</v>
      </c>
    </row>
    <row r="1489" spans="10:18">
      <c r="J1489" s="4">
        <v>2073</v>
      </c>
      <c r="K1489" s="21" t="str">
        <f>HYPERLINK("obsidian://open?vault=o2&amp;file=Make%20file%20metadata%20and%20properties%20separate%20concepts.md","Make file metadata and properties separate concepts")</f>
        <v>Make file metadata and properties separate concepts</v>
      </c>
      <c r="L1489" s="20" t="s">
        <v>175</v>
      </c>
      <c r="M1489" s="4"/>
      <c r="N1489" s="2" t="s">
        <v>133</v>
      </c>
      <c r="O1489" s="2"/>
      <c r="P1489" s="4">
        <v>1</v>
      </c>
      <c r="Q1489" s="2" t="s">
        <v>2614</v>
      </c>
      <c r="R1489" s="11">
        <f>SUBTOTAL(3,_xlfn.SINGLE(tbl_file[RowId]))</f>
        <v>1</v>
      </c>
    </row>
    <row r="1490" spans="10:18">
      <c r="J1490" s="4">
        <v>2074</v>
      </c>
      <c r="K1490" s="21" t="str">
        <f t="shared" ref="K1490:K1495" si="48">HYPERLINK("obsidian://open?vault=o2&amp;file=Manage%20Users.md","Manage Users")</f>
        <v>Manage Users</v>
      </c>
      <c r="L1490" s="20" t="s">
        <v>175</v>
      </c>
      <c r="M1490" s="4"/>
      <c r="N1490" s="2" t="s">
        <v>11</v>
      </c>
      <c r="O1490" s="2"/>
      <c r="P1490" s="4">
        <v>4</v>
      </c>
      <c r="Q1490" s="2" t="s">
        <v>3109</v>
      </c>
      <c r="R1490" s="11">
        <f>SUBTOTAL(3,_xlfn.SINGLE(tbl_file[RowId]))</f>
        <v>1</v>
      </c>
    </row>
    <row r="1491" spans="10:18">
      <c r="J1491" s="4">
        <v>2075</v>
      </c>
      <c r="K1491" s="21" t="str">
        <f t="shared" si="48"/>
        <v>Manage Users</v>
      </c>
      <c r="L1491" s="20" t="s">
        <v>175</v>
      </c>
      <c r="M1491" s="4"/>
      <c r="N1491" s="2" t="s">
        <v>48</v>
      </c>
      <c r="O1491" s="2"/>
      <c r="P1491" s="4">
        <v>6</v>
      </c>
      <c r="Q1491" s="2" t="s">
        <v>3110</v>
      </c>
      <c r="R1491" s="11">
        <f>SUBTOTAL(3,_xlfn.SINGLE(tbl_file[RowId]))</f>
        <v>1</v>
      </c>
    </row>
    <row r="1492" spans="10:18">
      <c r="J1492" s="4">
        <v>2076</v>
      </c>
      <c r="K1492" s="21" t="str">
        <f t="shared" si="48"/>
        <v>Manage Users</v>
      </c>
      <c r="L1492" s="20" t="s">
        <v>175</v>
      </c>
      <c r="M1492" s="4"/>
      <c r="N1492" s="2" t="s">
        <v>50</v>
      </c>
      <c r="O1492" s="2"/>
      <c r="P1492" s="4">
        <v>2</v>
      </c>
      <c r="Q1492" s="2" t="s">
        <v>3111</v>
      </c>
      <c r="R1492" s="11">
        <f>SUBTOTAL(3,_xlfn.SINGLE(tbl_file[RowId]))</f>
        <v>1</v>
      </c>
    </row>
    <row r="1493" spans="10:18">
      <c r="J1493" s="4">
        <v>2077</v>
      </c>
      <c r="K1493" s="21" t="str">
        <f t="shared" si="48"/>
        <v>Manage Users</v>
      </c>
      <c r="L1493" s="20" t="s">
        <v>175</v>
      </c>
      <c r="M1493" s="4"/>
      <c r="N1493" s="2" t="s">
        <v>127</v>
      </c>
      <c r="O1493" s="2"/>
      <c r="P1493" s="4">
        <v>1</v>
      </c>
      <c r="Q1493" s="2" t="s">
        <v>1960</v>
      </c>
      <c r="R1493" s="11">
        <f>SUBTOTAL(3,_xlfn.SINGLE(tbl_file[RowId]))</f>
        <v>1</v>
      </c>
    </row>
    <row r="1494" spans="10:18">
      <c r="J1494" s="4">
        <v>2078</v>
      </c>
      <c r="K1494" s="21" t="str">
        <f t="shared" si="48"/>
        <v>Manage Users</v>
      </c>
      <c r="L1494" s="20" t="s">
        <v>175</v>
      </c>
      <c r="M1494" s="4"/>
      <c r="N1494" s="2" t="s">
        <v>2606</v>
      </c>
      <c r="O1494" s="2"/>
      <c r="P1494" s="4">
        <v>1</v>
      </c>
      <c r="Q1494" s="2" t="s">
        <v>2293</v>
      </c>
      <c r="R1494" s="11">
        <f>SUBTOTAL(3,_xlfn.SINGLE(tbl_file[RowId]))</f>
        <v>1</v>
      </c>
    </row>
    <row r="1495" spans="10:18">
      <c r="J1495" s="4">
        <v>2079</v>
      </c>
      <c r="K1495" s="21" t="str">
        <f t="shared" si="48"/>
        <v>Manage Users</v>
      </c>
      <c r="L1495" s="20" t="s">
        <v>175</v>
      </c>
      <c r="M1495" s="4"/>
      <c r="N1495" s="2" t="s">
        <v>133</v>
      </c>
      <c r="O1495" s="2"/>
      <c r="P1495" s="4">
        <v>1</v>
      </c>
      <c r="Q1495" s="2" t="s">
        <v>2107</v>
      </c>
      <c r="R1495" s="11">
        <f>SUBTOTAL(3,_xlfn.SINGLE(tbl_file[RowId]))</f>
        <v>1</v>
      </c>
    </row>
    <row r="1496" spans="10:18">
      <c r="J1496" s="4">
        <v>2080</v>
      </c>
      <c r="K1496" s="21" t="str">
        <f t="shared" ref="K1496:K1502" si="49">HYPERLINK("obsidian://open?vault=o2&amp;file=Managing%20and%20growing%20evergreen%20notes.md","Managing and growing evergreen notes")</f>
        <v>Managing and growing evergreen notes</v>
      </c>
      <c r="L1496" s="20" t="s">
        <v>175</v>
      </c>
      <c r="M1496" s="4"/>
      <c r="N1496" s="2" t="s">
        <v>48</v>
      </c>
      <c r="O1496" s="2"/>
      <c r="P1496" s="4">
        <v>4</v>
      </c>
      <c r="Q1496" s="2" t="s">
        <v>3112</v>
      </c>
      <c r="R1496" s="11">
        <f>SUBTOTAL(3,_xlfn.SINGLE(tbl_file[RowId]))</f>
        <v>1</v>
      </c>
    </row>
    <row r="1497" spans="10:18">
      <c r="J1497" s="4">
        <v>2081</v>
      </c>
      <c r="K1497" s="21" t="str">
        <f t="shared" si="49"/>
        <v>Managing and growing evergreen notes</v>
      </c>
      <c r="L1497" s="20" t="s">
        <v>175</v>
      </c>
      <c r="M1497" s="4"/>
      <c r="N1497" s="2" t="s">
        <v>50</v>
      </c>
      <c r="O1497" s="2"/>
      <c r="P1497" s="4">
        <v>2</v>
      </c>
      <c r="Q1497" s="2" t="s">
        <v>3113</v>
      </c>
      <c r="R1497" s="11">
        <f>SUBTOTAL(3,_xlfn.SINGLE(tbl_file[RowId]))</f>
        <v>1</v>
      </c>
    </row>
    <row r="1498" spans="10:18">
      <c r="J1498" s="4">
        <v>2082</v>
      </c>
      <c r="K1498" s="21" t="str">
        <f t="shared" si="49"/>
        <v>Managing and growing evergreen notes</v>
      </c>
      <c r="L1498" s="20" t="s">
        <v>175</v>
      </c>
      <c r="M1498" s="4"/>
      <c r="N1498" s="2" t="s">
        <v>118</v>
      </c>
      <c r="O1498" s="2"/>
      <c r="P1498" s="4">
        <v>1</v>
      </c>
      <c r="Q1498" s="2" t="s">
        <v>1641</v>
      </c>
      <c r="R1498" s="11">
        <f>SUBTOTAL(3,_xlfn.SINGLE(tbl_file[RowId]))</f>
        <v>1</v>
      </c>
    </row>
    <row r="1499" spans="10:18">
      <c r="J1499" s="4">
        <v>2083</v>
      </c>
      <c r="K1499" s="21" t="str">
        <f t="shared" si="49"/>
        <v>Managing and growing evergreen notes</v>
      </c>
      <c r="L1499" s="20" t="s">
        <v>175</v>
      </c>
      <c r="M1499" s="4"/>
      <c r="N1499" s="2" t="s">
        <v>123</v>
      </c>
      <c r="O1499" s="2"/>
      <c r="P1499" s="4">
        <v>1</v>
      </c>
      <c r="Q1499" s="2" t="s">
        <v>1564</v>
      </c>
      <c r="R1499" s="11">
        <f>SUBTOTAL(3,_xlfn.SINGLE(tbl_file[RowId]))</f>
        <v>1</v>
      </c>
    </row>
    <row r="1500" spans="10:18">
      <c r="J1500" s="4">
        <v>2084</v>
      </c>
      <c r="K1500" s="21" t="str">
        <f t="shared" si="49"/>
        <v>Managing and growing evergreen notes</v>
      </c>
      <c r="L1500" s="20" t="s">
        <v>175</v>
      </c>
      <c r="M1500" s="4"/>
      <c r="N1500" s="2" t="s">
        <v>127</v>
      </c>
      <c r="O1500" s="2"/>
      <c r="P1500" s="4">
        <v>1</v>
      </c>
      <c r="Q1500" s="2" t="s">
        <v>1956</v>
      </c>
      <c r="R1500" s="11">
        <f>SUBTOTAL(3,_xlfn.SINGLE(tbl_file[RowId]))</f>
        <v>1</v>
      </c>
    </row>
    <row r="1501" spans="10:18">
      <c r="J1501" s="4">
        <v>2085</v>
      </c>
      <c r="K1501" s="21" t="str">
        <f t="shared" si="49"/>
        <v>Managing and growing evergreen notes</v>
      </c>
      <c r="L1501" s="20" t="s">
        <v>175</v>
      </c>
      <c r="M1501" s="4"/>
      <c r="N1501" s="2" t="s">
        <v>2606</v>
      </c>
      <c r="O1501" s="2"/>
      <c r="P1501" s="4">
        <v>2</v>
      </c>
      <c r="Q1501" s="2" t="s">
        <v>3114</v>
      </c>
      <c r="R1501" s="11">
        <f>SUBTOTAL(3,_xlfn.SINGLE(tbl_file[RowId]))</f>
        <v>1</v>
      </c>
    </row>
    <row r="1502" spans="10:18">
      <c r="J1502" s="4">
        <v>2086</v>
      </c>
      <c r="K1502" s="21" t="str">
        <f t="shared" si="49"/>
        <v>Managing and growing evergreen notes</v>
      </c>
      <c r="L1502" s="20" t="s">
        <v>175</v>
      </c>
      <c r="M1502" s="4"/>
      <c r="N1502" s="2" t="s">
        <v>133</v>
      </c>
      <c r="O1502" s="2"/>
      <c r="P1502" s="4">
        <v>1</v>
      </c>
      <c r="Q1502" s="2" t="s">
        <v>2113</v>
      </c>
      <c r="R1502" s="11">
        <f>SUBTOTAL(3,_xlfn.SINGLE(tbl_file[RowId]))</f>
        <v>1</v>
      </c>
    </row>
    <row r="1503" spans="10:18">
      <c r="J1503" s="4">
        <v>2087</v>
      </c>
      <c r="K1503" s="21" t="str">
        <f t="shared" ref="K1503:K1508" si="50">HYPERLINK("obsidian://open?vault=o2&amp;file=Managing%20appearance%20and%20theme.md","Managing appearance and theme")</f>
        <v>Managing appearance and theme</v>
      </c>
      <c r="L1503" s="20" t="s">
        <v>175</v>
      </c>
      <c r="M1503" s="4"/>
      <c r="N1503" s="2" t="s">
        <v>50</v>
      </c>
      <c r="O1503" s="2"/>
      <c r="P1503" s="4">
        <v>5</v>
      </c>
      <c r="Q1503" s="2" t="s">
        <v>3108</v>
      </c>
      <c r="R1503" s="11">
        <f>SUBTOTAL(3,_xlfn.SINGLE(tbl_file[RowId]))</f>
        <v>1</v>
      </c>
    </row>
    <row r="1504" spans="10:18">
      <c r="J1504" s="4">
        <v>2088</v>
      </c>
      <c r="K1504" s="21" t="str">
        <f t="shared" si="50"/>
        <v>Managing appearance and theme</v>
      </c>
      <c r="L1504" s="20" t="s">
        <v>175</v>
      </c>
      <c r="M1504" s="4"/>
      <c r="N1504" s="2" t="s">
        <v>118</v>
      </c>
      <c r="O1504" s="2"/>
      <c r="P1504" s="4">
        <v>1</v>
      </c>
      <c r="Q1504" s="2" t="s">
        <v>1641</v>
      </c>
      <c r="R1504" s="11">
        <f>SUBTOTAL(3,_xlfn.SINGLE(tbl_file[RowId]))</f>
        <v>1</v>
      </c>
    </row>
    <row r="1505" spans="10:18">
      <c r="J1505" s="4">
        <v>2089</v>
      </c>
      <c r="K1505" s="21" t="str">
        <f t="shared" si="50"/>
        <v>Managing appearance and theme</v>
      </c>
      <c r="L1505" s="20" t="s">
        <v>175</v>
      </c>
      <c r="M1505" s="4"/>
      <c r="N1505" s="2" t="s">
        <v>123</v>
      </c>
      <c r="O1505" s="2"/>
      <c r="P1505" s="4">
        <v>1</v>
      </c>
      <c r="Q1505" s="2" t="s">
        <v>1564</v>
      </c>
      <c r="R1505" s="11">
        <f>SUBTOTAL(3,_xlfn.SINGLE(tbl_file[RowId]))</f>
        <v>1</v>
      </c>
    </row>
    <row r="1506" spans="10:18">
      <c r="J1506" s="4">
        <v>2090</v>
      </c>
      <c r="K1506" s="21" t="str">
        <f t="shared" si="50"/>
        <v>Managing appearance and theme</v>
      </c>
      <c r="L1506" s="20" t="s">
        <v>175</v>
      </c>
      <c r="M1506" s="4"/>
      <c r="N1506" s="2" t="s">
        <v>127</v>
      </c>
      <c r="O1506" s="2"/>
      <c r="P1506" s="4">
        <v>1</v>
      </c>
      <c r="Q1506" s="2" t="s">
        <v>1968</v>
      </c>
      <c r="R1506" s="11">
        <f>SUBTOTAL(3,_xlfn.SINGLE(tbl_file[RowId]))</f>
        <v>1</v>
      </c>
    </row>
    <row r="1507" spans="10:18">
      <c r="J1507" s="4">
        <v>2091</v>
      </c>
      <c r="K1507" s="21" t="str">
        <f t="shared" si="50"/>
        <v>Managing appearance and theme</v>
      </c>
      <c r="L1507" s="20" t="s">
        <v>175</v>
      </c>
      <c r="M1507" s="4"/>
      <c r="N1507" s="2" t="s">
        <v>129</v>
      </c>
      <c r="O1507" s="2"/>
      <c r="P1507" s="4">
        <v>1</v>
      </c>
      <c r="Q1507" s="2" t="s">
        <v>1430</v>
      </c>
      <c r="R1507" s="11">
        <f>SUBTOTAL(3,_xlfn.SINGLE(tbl_file[RowId]))</f>
        <v>1</v>
      </c>
    </row>
    <row r="1508" spans="10:18">
      <c r="J1508" s="4">
        <v>2092</v>
      </c>
      <c r="K1508" s="21" t="str">
        <f t="shared" si="50"/>
        <v>Managing appearance and theme</v>
      </c>
      <c r="L1508" s="20" t="s">
        <v>175</v>
      </c>
      <c r="M1508" s="4"/>
      <c r="N1508" s="2" t="s">
        <v>2606</v>
      </c>
      <c r="O1508" s="2"/>
      <c r="P1508" s="4">
        <v>4</v>
      </c>
      <c r="Q1508" s="2" t="s">
        <v>3115</v>
      </c>
      <c r="R1508" s="11">
        <f>SUBTOTAL(3,_xlfn.SINGLE(tbl_file[RowId]))</f>
        <v>1</v>
      </c>
    </row>
    <row r="1509" spans="10:18">
      <c r="J1509" s="4">
        <v>2093</v>
      </c>
      <c r="K1509" s="21" t="str">
        <f>HYPERLINK("obsidian://open?vault=o2&amp;file=Managing%20daily%20and%20periodic%20notes.md","Managing daily and periodic notes")</f>
        <v>Managing daily and periodic notes</v>
      </c>
      <c r="L1509" s="20" t="s">
        <v>175</v>
      </c>
      <c r="M1509" s="4"/>
      <c r="N1509" s="2" t="s">
        <v>50</v>
      </c>
      <c r="O1509" s="2"/>
      <c r="P1509" s="4">
        <v>1</v>
      </c>
      <c r="Q1509" s="2" t="s">
        <v>1432</v>
      </c>
      <c r="R1509" s="11">
        <f>SUBTOTAL(3,_xlfn.SINGLE(tbl_file[RowId]))</f>
        <v>1</v>
      </c>
    </row>
    <row r="1510" spans="10:18">
      <c r="J1510" s="4">
        <v>2094</v>
      </c>
      <c r="K1510" s="21" t="str">
        <f t="shared" ref="K1510:K1515" si="51">HYPERLINK("obsidian://open?vault=o2&amp;file=Managing%20inputs.md","Managing inputs")</f>
        <v>Managing inputs</v>
      </c>
      <c r="L1510" s="20" t="s">
        <v>175</v>
      </c>
      <c r="M1510" s="4"/>
      <c r="N1510" s="2" t="s">
        <v>50</v>
      </c>
      <c r="O1510" s="2"/>
      <c r="P1510" s="4">
        <v>5</v>
      </c>
      <c r="Q1510" s="2" t="s">
        <v>3108</v>
      </c>
      <c r="R1510" s="11">
        <f>SUBTOTAL(3,_xlfn.SINGLE(tbl_file[RowId]))</f>
        <v>1</v>
      </c>
    </row>
    <row r="1511" spans="10:18">
      <c r="J1511" s="4">
        <v>2095</v>
      </c>
      <c r="K1511" s="21" t="str">
        <f t="shared" si="51"/>
        <v>Managing inputs</v>
      </c>
      <c r="L1511" s="20" t="s">
        <v>175</v>
      </c>
      <c r="M1511" s="4"/>
      <c r="N1511" s="2" t="s">
        <v>118</v>
      </c>
      <c r="O1511" s="2"/>
      <c r="P1511" s="4">
        <v>1</v>
      </c>
      <c r="Q1511" s="2" t="s">
        <v>1641</v>
      </c>
      <c r="R1511" s="11">
        <f>SUBTOTAL(3,_xlfn.SINGLE(tbl_file[RowId]))</f>
        <v>1</v>
      </c>
    </row>
    <row r="1512" spans="10:18">
      <c r="J1512" s="4">
        <v>2096</v>
      </c>
      <c r="K1512" s="21" t="str">
        <f t="shared" si="51"/>
        <v>Managing inputs</v>
      </c>
      <c r="L1512" s="20" t="s">
        <v>175</v>
      </c>
      <c r="M1512" s="4"/>
      <c r="N1512" s="2" t="s">
        <v>123</v>
      </c>
      <c r="O1512" s="2"/>
      <c r="P1512" s="4">
        <v>1</v>
      </c>
      <c r="Q1512" s="2" t="s">
        <v>1564</v>
      </c>
      <c r="R1512" s="11">
        <f>SUBTOTAL(3,_xlfn.SINGLE(tbl_file[RowId]))</f>
        <v>1</v>
      </c>
    </row>
    <row r="1513" spans="10:18">
      <c r="J1513" s="4">
        <v>2097</v>
      </c>
      <c r="K1513" s="21" t="str">
        <f t="shared" si="51"/>
        <v>Managing inputs</v>
      </c>
      <c r="L1513" s="20" t="s">
        <v>175</v>
      </c>
      <c r="M1513" s="4"/>
      <c r="N1513" s="2" t="s">
        <v>127</v>
      </c>
      <c r="O1513" s="2"/>
      <c r="P1513" s="4">
        <v>1</v>
      </c>
      <c r="Q1513" s="2" t="s">
        <v>1964</v>
      </c>
      <c r="R1513" s="11">
        <f>SUBTOTAL(3,_xlfn.SINGLE(tbl_file[RowId]))</f>
        <v>1</v>
      </c>
    </row>
    <row r="1514" spans="10:18">
      <c r="J1514" s="4">
        <v>2098</v>
      </c>
      <c r="K1514" s="21" t="str">
        <f t="shared" si="51"/>
        <v>Managing inputs</v>
      </c>
      <c r="L1514" s="20" t="s">
        <v>175</v>
      </c>
      <c r="M1514" s="4"/>
      <c r="N1514" s="2" t="s">
        <v>129</v>
      </c>
      <c r="O1514" s="2"/>
      <c r="P1514" s="4">
        <v>1</v>
      </c>
      <c r="Q1514" s="2" t="s">
        <v>1430</v>
      </c>
      <c r="R1514" s="11">
        <f>SUBTOTAL(3,_xlfn.SINGLE(tbl_file[RowId]))</f>
        <v>1</v>
      </c>
    </row>
    <row r="1515" spans="10:18">
      <c r="J1515" s="4">
        <v>2099</v>
      </c>
      <c r="K1515" s="21" t="str">
        <f t="shared" si="51"/>
        <v>Managing inputs</v>
      </c>
      <c r="L1515" s="20" t="s">
        <v>175</v>
      </c>
      <c r="M1515" s="4"/>
      <c r="N1515" s="2" t="s">
        <v>2606</v>
      </c>
      <c r="O1515" s="2"/>
      <c r="P1515" s="4">
        <v>4</v>
      </c>
      <c r="Q1515" s="2" t="s">
        <v>3116</v>
      </c>
      <c r="R1515" s="11">
        <f>SUBTOTAL(3,_xlfn.SINGLE(tbl_file[RowId]))</f>
        <v>1</v>
      </c>
    </row>
    <row r="1516" spans="10:18">
      <c r="J1516" s="4">
        <v>2100</v>
      </c>
      <c r="K1516" s="21" t="str">
        <f>HYPERLINK("obsidian://open?vault=o2&amp;file=Managing%20projects.md","Managing projects")</f>
        <v>Managing projects</v>
      </c>
      <c r="L1516" s="20" t="s">
        <v>175</v>
      </c>
      <c r="M1516" s="4"/>
      <c r="N1516" s="2" t="s">
        <v>50</v>
      </c>
      <c r="O1516" s="2"/>
      <c r="P1516" s="4">
        <v>1</v>
      </c>
      <c r="Q1516" s="2" t="s">
        <v>1426</v>
      </c>
      <c r="R1516" s="11">
        <f>SUBTOTAL(3,_xlfn.SINGLE(tbl_file[RowId]))</f>
        <v>1</v>
      </c>
    </row>
    <row r="1517" spans="10:18">
      <c r="J1517" s="4">
        <v>2102</v>
      </c>
      <c r="K1517" s="21" t="str">
        <f>HYPERLINK("obsidian://open?vault=o2&amp;file=Managing%20tasks%20via%20kanbans.md","Managing tasks via kanbans")</f>
        <v>Managing tasks via kanbans</v>
      </c>
      <c r="L1517" s="20" t="s">
        <v>175</v>
      </c>
      <c r="M1517" s="4"/>
      <c r="N1517" s="2" t="s">
        <v>50</v>
      </c>
      <c r="O1517" s="2"/>
      <c r="P1517" s="4">
        <v>1</v>
      </c>
      <c r="Q1517" s="2" t="s">
        <v>1426</v>
      </c>
      <c r="R1517" s="11">
        <f>SUBTOTAL(3,_xlfn.SINGLE(tbl_file[RowId]))</f>
        <v>1</v>
      </c>
    </row>
    <row r="1518" spans="10:18">
      <c r="J1518" s="4">
        <v>2101</v>
      </c>
      <c r="K1518" s="21" t="str">
        <f>HYPERLINK("obsidian://open?vault=o2&amp;file=Managing%20tasks%20via%20Todoist.md","Managing tasks via Todoist")</f>
        <v>Managing tasks via Todoist</v>
      </c>
      <c r="L1518" s="20" t="s">
        <v>175</v>
      </c>
      <c r="M1518" s="4"/>
      <c r="N1518" s="2" t="s">
        <v>50</v>
      </c>
      <c r="O1518" s="2"/>
      <c r="P1518" s="4">
        <v>1</v>
      </c>
      <c r="Q1518" s="2" t="s">
        <v>1426</v>
      </c>
      <c r="R1518" s="11">
        <f>SUBTOTAL(3,_xlfn.SINGLE(tbl_file[RowId]))</f>
        <v>1</v>
      </c>
    </row>
    <row r="1519" spans="10:18">
      <c r="J1519" s="4">
        <v>2103</v>
      </c>
      <c r="K1519" s="21" t="str">
        <f>HYPERLINK("obsidian://open?vault=o2&amp;file=Managing%20thoughts%20and%20ideas.md","Managing thoughts and ideas")</f>
        <v>Managing thoughts and ideas</v>
      </c>
      <c r="L1519" s="20" t="s">
        <v>175</v>
      </c>
      <c r="M1519" s="4"/>
      <c r="N1519" s="2" t="s">
        <v>50</v>
      </c>
      <c r="O1519" s="2"/>
      <c r="P1519" s="4">
        <v>1</v>
      </c>
      <c r="Q1519" s="2" t="s">
        <v>1426</v>
      </c>
      <c r="R1519" s="11">
        <f>SUBTOTAL(3,_xlfn.SINGLE(tbl_file[RowId]))</f>
        <v>1</v>
      </c>
    </row>
    <row r="1520" spans="10:18">
      <c r="J1520" s="4">
        <v>2104</v>
      </c>
      <c r="K1520" s="21" t="str">
        <f>HYPERLINK("obsidian://open?vault=o2&amp;file=Managing%20thoughts%20and%20ideas.md","Managing thoughts and ideas")</f>
        <v>Managing thoughts and ideas</v>
      </c>
      <c r="L1520" s="20" t="s">
        <v>175</v>
      </c>
      <c r="M1520" s="4" t="s">
        <v>2626</v>
      </c>
      <c r="N1520" s="2" t="s">
        <v>2606</v>
      </c>
      <c r="O1520" s="2"/>
      <c r="P1520" s="4">
        <v>1</v>
      </c>
      <c r="Q1520" s="2" t="s">
        <v>2509</v>
      </c>
      <c r="R1520" s="11">
        <f>SUBTOTAL(3,_xlfn.SINGLE(tbl_file[RowId]))</f>
        <v>1</v>
      </c>
    </row>
    <row r="1521" spans="10:18">
      <c r="J1521" s="4">
        <v>114</v>
      </c>
      <c r="K1521" s="21" t="str">
        <f>HYPERLINK("obsidian://open?vault=o2&amp;file=Markdown%20Definition%20Lists.md","Markdown Definition Lists")</f>
        <v>Markdown Definition Lists</v>
      </c>
      <c r="L1521" s="20" t="s">
        <v>175</v>
      </c>
      <c r="M1521" s="4"/>
      <c r="N1521" s="2" t="s">
        <v>118</v>
      </c>
      <c r="O1521" s="2"/>
      <c r="P1521" s="4">
        <v>1</v>
      </c>
      <c r="Q1521" s="2" t="s">
        <v>1641</v>
      </c>
      <c r="R1521" s="11">
        <f>SUBTOTAL(3,_xlfn.SINGLE(tbl_file[RowId]))</f>
        <v>1</v>
      </c>
    </row>
    <row r="1522" spans="10:18">
      <c r="J1522" s="4">
        <v>115</v>
      </c>
      <c r="K1522" s="21" t="str">
        <f>HYPERLINK("obsidian://open?vault=o2&amp;file=Markdown%20Definition%20Lists.md","Markdown Definition Lists")</f>
        <v>Markdown Definition Lists</v>
      </c>
      <c r="L1522" s="20" t="s">
        <v>175</v>
      </c>
      <c r="M1522" s="4"/>
      <c r="N1522" s="2" t="s">
        <v>123</v>
      </c>
      <c r="O1522" s="2"/>
      <c r="P1522" s="4">
        <v>1</v>
      </c>
      <c r="Q1522" s="2" t="s">
        <v>1564</v>
      </c>
      <c r="R1522" s="11">
        <f>SUBTOTAL(3,_xlfn.SINGLE(tbl_file[RowId]))</f>
        <v>1</v>
      </c>
    </row>
    <row r="1523" spans="10:18">
      <c r="J1523" s="4">
        <v>116</v>
      </c>
      <c r="K1523" s="21" t="str">
        <f>HYPERLINK("obsidian://open?vault=o2&amp;file=Markdown%20Definition%20Lists.md","Markdown Definition Lists")</f>
        <v>Markdown Definition Lists</v>
      </c>
      <c r="L1523" s="20" t="s">
        <v>175</v>
      </c>
      <c r="M1523" s="4"/>
      <c r="N1523" s="2" t="s">
        <v>127</v>
      </c>
      <c r="O1523" s="2"/>
      <c r="P1523" s="4">
        <v>1</v>
      </c>
      <c r="Q1523" s="2" t="s">
        <v>1956</v>
      </c>
      <c r="R1523" s="11">
        <f>SUBTOTAL(3,_xlfn.SINGLE(tbl_file[RowId]))</f>
        <v>1</v>
      </c>
    </row>
    <row r="1524" spans="10:18">
      <c r="J1524" s="4">
        <v>117</v>
      </c>
      <c r="K1524" s="21" t="str">
        <f>HYPERLINK("obsidian://open?vault=o2&amp;file=Markdown%20Definition%20Lists.md","Markdown Definition Lists")</f>
        <v>Markdown Definition Lists</v>
      </c>
      <c r="L1524" s="20" t="s">
        <v>175</v>
      </c>
      <c r="M1524" s="4"/>
      <c r="N1524" s="2" t="s">
        <v>2606</v>
      </c>
      <c r="O1524" s="2"/>
      <c r="P1524" s="4">
        <v>1</v>
      </c>
      <c r="Q1524" s="2" t="s">
        <v>2416</v>
      </c>
      <c r="R1524" s="11">
        <f>SUBTOTAL(3,_xlfn.SINGLE(tbl_file[RowId]))</f>
        <v>1</v>
      </c>
    </row>
    <row r="1525" spans="10:18">
      <c r="J1525" s="4">
        <v>118</v>
      </c>
      <c r="K1525" s="21" t="str">
        <f>HYPERLINK("obsidian://open?vault=o2&amp;file=Markdown%20Definition%20Lists.md","Markdown Definition Lists")</f>
        <v>Markdown Definition Lists</v>
      </c>
      <c r="L1525" s="20" t="s">
        <v>175</v>
      </c>
      <c r="M1525" s="4"/>
      <c r="N1525" s="2" t="s">
        <v>133</v>
      </c>
      <c r="O1525" s="2"/>
      <c r="P1525" s="4">
        <v>1</v>
      </c>
      <c r="Q1525" s="2" t="s">
        <v>2113</v>
      </c>
      <c r="R1525" s="11">
        <f>SUBTOTAL(3,_xlfn.SINGLE(tbl_file[RowId]))</f>
        <v>1</v>
      </c>
    </row>
    <row r="1526" spans="10:18">
      <c r="J1526" s="4">
        <v>2105</v>
      </c>
      <c r="K1526" s="21" t="str">
        <f>HYPERLINK("obsidian://open?vault=o2&amp;file=Master%20OSINT%20Toolbox.md","Master OSINT Toolbox")</f>
        <v>Master OSINT Toolbox</v>
      </c>
      <c r="L1526" s="20" t="s">
        <v>175</v>
      </c>
      <c r="M1526" s="4"/>
      <c r="N1526" s="2" t="s">
        <v>50</v>
      </c>
      <c r="O1526" s="2"/>
      <c r="P1526" s="4">
        <v>1</v>
      </c>
      <c r="Q1526" s="2" t="s">
        <v>1448</v>
      </c>
      <c r="R1526" s="11">
        <f>SUBTOTAL(3,_xlfn.SINGLE(tbl_file[RowId]))</f>
        <v>1</v>
      </c>
    </row>
    <row r="1527" spans="10:18">
      <c r="J1527" s="4">
        <v>2106</v>
      </c>
      <c r="K1527" s="21" t="str">
        <f>HYPERLINK("obsidian://open?vault=o2&amp;file=Master%20OSINT%20Toolbox.md","Master OSINT Toolbox")</f>
        <v>Master OSINT Toolbox</v>
      </c>
      <c r="L1527" s="20" t="s">
        <v>175</v>
      </c>
      <c r="M1527" s="4"/>
      <c r="N1527" s="2" t="s">
        <v>2606</v>
      </c>
      <c r="O1527" s="2"/>
      <c r="P1527" s="4">
        <v>3</v>
      </c>
      <c r="Q1527" s="2" t="s">
        <v>3117</v>
      </c>
      <c r="R1527" s="11">
        <f>SUBTOTAL(3,_xlfn.SINGLE(tbl_file[RowId]))</f>
        <v>1</v>
      </c>
    </row>
    <row r="1528" spans="10:18">
      <c r="J1528" s="4">
        <v>2107</v>
      </c>
      <c r="K1528" s="21" t="str">
        <f>HYPERLINK("obsidian://open?vault=o2&amp;file=Master%20OSINT%20Toolbox.md","Master OSINT Toolbox")</f>
        <v>Master OSINT Toolbox</v>
      </c>
      <c r="L1528" s="20" t="s">
        <v>175</v>
      </c>
      <c r="M1528" s="4"/>
      <c r="N1528" s="2" t="s">
        <v>133</v>
      </c>
      <c r="O1528" s="2"/>
      <c r="P1528" s="4">
        <v>1</v>
      </c>
      <c r="Q1528" s="2" t="s">
        <v>2622</v>
      </c>
      <c r="R1528" s="11">
        <f>SUBTOTAL(3,_xlfn.SINGLE(tbl_file[RowId]))</f>
        <v>1</v>
      </c>
    </row>
    <row r="1529" spans="10:18">
      <c r="J1529" s="4">
        <v>1155</v>
      </c>
      <c r="K1529" s="21" t="str">
        <f>HYPERLINK("obsidian://open?vault=o2&amp;file=MCL%20Multi%20Column.md","MCL Multi Column")</f>
        <v>MCL Multi Column</v>
      </c>
      <c r="L1529" s="20" t="s">
        <v>175</v>
      </c>
      <c r="M1529" s="4"/>
      <c r="N1529" s="2" t="s">
        <v>48</v>
      </c>
      <c r="O1529" s="2"/>
      <c r="P1529" s="4">
        <v>4</v>
      </c>
      <c r="Q1529" s="2" t="s">
        <v>2991</v>
      </c>
      <c r="R1529" s="11">
        <f>SUBTOTAL(3,_xlfn.SINGLE(tbl_file[RowId]))</f>
        <v>1</v>
      </c>
    </row>
    <row r="1530" spans="10:18">
      <c r="J1530" s="4">
        <v>1156</v>
      </c>
      <c r="K1530" s="21" t="str">
        <f>HYPERLINK("obsidian://open?vault=o2&amp;file=MCL%20Multi%20Column.md","MCL Multi Column")</f>
        <v>MCL Multi Column</v>
      </c>
      <c r="L1530" s="20" t="s">
        <v>175</v>
      </c>
      <c r="M1530" s="4"/>
      <c r="N1530" s="2" t="s">
        <v>2606</v>
      </c>
      <c r="O1530" s="2"/>
      <c r="P1530" s="4">
        <v>2</v>
      </c>
      <c r="Q1530" s="2" t="s">
        <v>2992</v>
      </c>
      <c r="R1530" s="11">
        <f>SUBTOTAL(3,_xlfn.SINGLE(tbl_file[RowId]))</f>
        <v>1</v>
      </c>
    </row>
    <row r="1531" spans="10:18">
      <c r="J1531" s="4">
        <v>1157</v>
      </c>
      <c r="K1531" s="21" t="str">
        <f>HYPERLINK("obsidian://open?vault=o2&amp;file=MCL%20Multi%20Column.md","MCL Multi Column")</f>
        <v>MCL Multi Column</v>
      </c>
      <c r="L1531" s="20" t="s">
        <v>175</v>
      </c>
      <c r="M1531" s="4"/>
      <c r="N1531" s="2" t="s">
        <v>133</v>
      </c>
      <c r="O1531" s="2"/>
      <c r="P1531" s="4">
        <v>1</v>
      </c>
      <c r="Q1531" s="2" t="s">
        <v>2693</v>
      </c>
      <c r="R1531" s="11">
        <f>SUBTOTAL(3,_xlfn.SINGLE(tbl_file[RowId]))</f>
        <v>1</v>
      </c>
    </row>
    <row r="1532" spans="10:18">
      <c r="J1532" s="4">
        <v>234</v>
      </c>
      <c r="K1532" s="21" t="str">
        <f>HYPERLINK("obsidian://open?vault=o2&amp;file=MD%20Web%20Clipper%20User%20Guide.md","MD Web Clipper User Guide")</f>
        <v>MD Web Clipper User Guide</v>
      </c>
      <c r="L1532" s="20" t="s">
        <v>175</v>
      </c>
      <c r="M1532" s="4"/>
      <c r="N1532" s="2" t="s">
        <v>50</v>
      </c>
      <c r="O1532" s="2"/>
      <c r="P1532" s="4">
        <v>1</v>
      </c>
      <c r="Q1532" s="2" t="s">
        <v>1641</v>
      </c>
      <c r="R1532" s="11">
        <f>SUBTOTAL(3,_xlfn.SINGLE(tbl_file[RowId]))</f>
        <v>1</v>
      </c>
    </row>
    <row r="1533" spans="10:18">
      <c r="J1533" s="4">
        <v>235</v>
      </c>
      <c r="K1533" s="21" t="str">
        <f>HYPERLINK("obsidian://open?vault=o2&amp;file=MD%20Web%20Clipper%20User%20Guide.md","MD Web Clipper User Guide")</f>
        <v>MD Web Clipper User Guide</v>
      </c>
      <c r="L1533" s="20" t="s">
        <v>175</v>
      </c>
      <c r="M1533" s="4"/>
      <c r="N1533" s="2" t="s">
        <v>2606</v>
      </c>
      <c r="O1533" s="2"/>
      <c r="P1533" s="4">
        <v>2</v>
      </c>
      <c r="Q1533" s="2" t="s">
        <v>2651</v>
      </c>
      <c r="R1533" s="11">
        <f>SUBTOTAL(3,_xlfn.SINGLE(tbl_file[RowId]))</f>
        <v>1</v>
      </c>
    </row>
    <row r="1534" spans="10:18">
      <c r="J1534" s="4">
        <v>236</v>
      </c>
      <c r="K1534" s="21" t="str">
        <f>HYPERLINK("obsidian://open?vault=o2&amp;file=MD%20Web%20Clipper%20User%20Guide.md","MD Web Clipper User Guide")</f>
        <v>MD Web Clipper User Guide</v>
      </c>
      <c r="L1534" s="20" t="s">
        <v>175</v>
      </c>
      <c r="M1534" s="4" t="s">
        <v>2626</v>
      </c>
      <c r="N1534" s="2" t="s">
        <v>2606</v>
      </c>
      <c r="O1534" s="2"/>
      <c r="P1534" s="4">
        <v>5</v>
      </c>
      <c r="Q1534" s="2" t="s">
        <v>2652</v>
      </c>
      <c r="R1534" s="11">
        <f>SUBTOTAL(3,_xlfn.SINGLE(tbl_file[RowId]))</f>
        <v>1</v>
      </c>
    </row>
    <row r="1535" spans="10:18">
      <c r="J1535" s="4">
        <v>492</v>
      </c>
      <c r="K1535" s="21" t="str">
        <f>HYPERLINK("obsidian://open?vault=o2&amp;file=Medications%20Log.md","Medications Log")</f>
        <v>Medications Log</v>
      </c>
      <c r="L1535" s="20" t="s">
        <v>175</v>
      </c>
      <c r="M1535" s="4"/>
      <c r="N1535" s="2" t="s">
        <v>50</v>
      </c>
      <c r="O1535" s="2"/>
      <c r="P1535" s="4">
        <v>1</v>
      </c>
      <c r="Q1535" s="2" t="s">
        <v>1448</v>
      </c>
      <c r="R1535" s="11">
        <f>SUBTOTAL(3,_xlfn.SINGLE(tbl_file[RowId]))</f>
        <v>1</v>
      </c>
    </row>
    <row r="1536" spans="10:18">
      <c r="J1536" s="4">
        <v>493</v>
      </c>
      <c r="K1536" s="21" t="str">
        <f>HYPERLINK("obsidian://open?vault=o2&amp;file=Medications%20Log.md","Medications Log")</f>
        <v>Medications Log</v>
      </c>
      <c r="L1536" s="20" t="s">
        <v>175</v>
      </c>
      <c r="M1536" s="4"/>
      <c r="N1536" s="2" t="s">
        <v>2606</v>
      </c>
      <c r="O1536" s="2"/>
      <c r="P1536" s="4">
        <v>2</v>
      </c>
      <c r="Q1536" s="2" t="s">
        <v>2701</v>
      </c>
      <c r="R1536" s="11">
        <f>SUBTOTAL(3,_xlfn.SINGLE(tbl_file[RowId]))</f>
        <v>1</v>
      </c>
    </row>
    <row r="1537" spans="10:18">
      <c r="J1537" s="4">
        <v>494</v>
      </c>
      <c r="K1537" s="21" t="str">
        <f>HYPERLINK("obsidian://open?vault=o2&amp;file=Medications%20Log.md","Medications Log")</f>
        <v>Medications Log</v>
      </c>
      <c r="L1537" s="20" t="s">
        <v>175</v>
      </c>
      <c r="M1537" s="4"/>
      <c r="N1537" s="2" t="s">
        <v>133</v>
      </c>
      <c r="O1537" s="2"/>
      <c r="P1537" s="4">
        <v>1</v>
      </c>
      <c r="Q1537" s="2" t="s">
        <v>2622</v>
      </c>
      <c r="R1537" s="11">
        <f>SUBTOTAL(3,_xlfn.SINGLE(tbl_file[RowId]))</f>
        <v>1</v>
      </c>
    </row>
    <row r="1538" spans="10:18">
      <c r="J1538" s="4">
        <v>495</v>
      </c>
      <c r="K1538" s="21" t="str">
        <f>HYPERLINK("obsidian://open?vault=o2&amp;file=Medications%20Log.md","Medications Log")</f>
        <v>Medications Log</v>
      </c>
      <c r="L1538" s="20" t="s">
        <v>175</v>
      </c>
      <c r="M1538" s="4" t="s">
        <v>2626</v>
      </c>
      <c r="N1538" s="2" t="s">
        <v>2606</v>
      </c>
      <c r="O1538" s="2"/>
      <c r="P1538" s="4">
        <v>1</v>
      </c>
      <c r="Q1538" s="2" t="s">
        <v>2434</v>
      </c>
      <c r="R1538" s="11">
        <f>SUBTOTAL(3,_xlfn.SINGLE(tbl_file[RowId]))</f>
        <v>1</v>
      </c>
    </row>
    <row r="1539" spans="10:18">
      <c r="J1539" s="4">
        <v>2108</v>
      </c>
      <c r="K1539" s="21" t="str">
        <f>HYPERLINK("obsidian://open?vault=o2&amp;file=Memberships%20and%20Rewards.md","Memberships and Rewards")</f>
        <v>Memberships and Rewards</v>
      </c>
      <c r="L1539" s="20" t="s">
        <v>175</v>
      </c>
      <c r="M1539" s="4"/>
      <c r="N1539" s="2" t="s">
        <v>50</v>
      </c>
      <c r="O1539" s="2"/>
      <c r="P1539" s="4">
        <v>2</v>
      </c>
      <c r="Q1539" s="2" t="s">
        <v>3118</v>
      </c>
      <c r="R1539" s="11">
        <f>SUBTOTAL(3,_xlfn.SINGLE(tbl_file[RowId]))</f>
        <v>1</v>
      </c>
    </row>
    <row r="1540" spans="10:18">
      <c r="J1540" s="4">
        <v>2109</v>
      </c>
      <c r="K1540" s="21" t="str">
        <f>HYPERLINK("obsidian://open?vault=o2&amp;file=Memberships%20and%20Rewards.md","Memberships and Rewards")</f>
        <v>Memberships and Rewards</v>
      </c>
      <c r="L1540" s="20" t="s">
        <v>175</v>
      </c>
      <c r="M1540" s="4"/>
      <c r="N1540" s="2" t="s">
        <v>127</v>
      </c>
      <c r="O1540" s="2"/>
      <c r="P1540" s="4">
        <v>1</v>
      </c>
      <c r="Q1540" s="2" t="s">
        <v>1942</v>
      </c>
      <c r="R1540" s="11">
        <f>SUBTOTAL(3,_xlfn.SINGLE(tbl_file[RowId]))</f>
        <v>1</v>
      </c>
    </row>
    <row r="1541" spans="10:18">
      <c r="J1541" s="4">
        <v>2110</v>
      </c>
      <c r="K1541" s="21" t="str">
        <f>HYPERLINK("obsidian://open?vault=o2&amp;file=Memberships%20and%20Rewards.md","Memberships and Rewards")</f>
        <v>Memberships and Rewards</v>
      </c>
      <c r="L1541" s="20" t="s">
        <v>175</v>
      </c>
      <c r="M1541" s="4"/>
      <c r="N1541" s="2" t="s">
        <v>2606</v>
      </c>
      <c r="O1541" s="2"/>
      <c r="P1541" s="4">
        <v>1</v>
      </c>
      <c r="Q1541" s="2" t="s">
        <v>2340</v>
      </c>
      <c r="R1541" s="11">
        <f>SUBTOTAL(3,_xlfn.SINGLE(tbl_file[RowId]))</f>
        <v>1</v>
      </c>
    </row>
    <row r="1542" spans="10:18">
      <c r="J1542" s="4">
        <v>2111</v>
      </c>
      <c r="K1542" s="21" t="str">
        <f>HYPERLINK("obsidian://open?vault=o2&amp;file=Memberships%20and%20Rewards.md","Memberships and Rewards")</f>
        <v>Memberships and Rewards</v>
      </c>
      <c r="L1542" s="20" t="s">
        <v>175</v>
      </c>
      <c r="M1542" s="4"/>
      <c r="N1542" s="2" t="s">
        <v>133</v>
      </c>
      <c r="O1542" s="2" t="s">
        <v>2637</v>
      </c>
      <c r="P1542" s="4">
        <v>1</v>
      </c>
      <c r="Q1542" s="2" t="s">
        <v>2107</v>
      </c>
      <c r="R1542" s="11">
        <f>SUBTOTAL(3,_xlfn.SINGLE(tbl_file[RowId]))</f>
        <v>1</v>
      </c>
    </row>
    <row r="1543" spans="10:18">
      <c r="J1543" s="4">
        <v>2115</v>
      </c>
      <c r="K1543" s="21" t="str">
        <f>HYPERLINK("obsidian://open?vault=o2&amp;file=Metadata.md","Metadata")</f>
        <v>Metadata</v>
      </c>
      <c r="L1543" s="20" t="s">
        <v>175</v>
      </c>
      <c r="M1543" s="4"/>
      <c r="N1543" s="2" t="s">
        <v>50</v>
      </c>
      <c r="O1543" s="2"/>
      <c r="P1543" s="4">
        <v>1</v>
      </c>
      <c r="Q1543" s="2" t="s">
        <v>1524</v>
      </c>
      <c r="R1543" s="11">
        <f>SUBTOTAL(3,_xlfn.SINGLE(tbl_file[RowId]))</f>
        <v>1</v>
      </c>
    </row>
    <row r="1544" spans="10:18">
      <c r="J1544" s="4">
        <v>2112</v>
      </c>
      <c r="K1544" s="21" t="str">
        <f>HYPERLINK("obsidian://open?vault=o2&amp;file=Metadata%20Menu%20Community%20Plugin.md","Metadata Menu Community Plugin")</f>
        <v>Metadata Menu Community Plugin</v>
      </c>
      <c r="L1544" s="20" t="s">
        <v>175</v>
      </c>
      <c r="M1544" s="4"/>
      <c r="N1544" s="2" t="s">
        <v>50</v>
      </c>
      <c r="O1544" s="2"/>
      <c r="P1544" s="4">
        <v>2</v>
      </c>
      <c r="Q1544" s="2" t="s">
        <v>3119</v>
      </c>
      <c r="R1544" s="11">
        <f>SUBTOTAL(3,_xlfn.SINGLE(tbl_file[RowId]))</f>
        <v>1</v>
      </c>
    </row>
    <row r="1545" spans="10:18">
      <c r="J1545" s="4">
        <v>2113</v>
      </c>
      <c r="K1545" s="21" t="str">
        <f>HYPERLINK("obsidian://open?vault=o2&amp;file=Metadata%20Menu%20Community%20Plugin.md","Metadata Menu Community Plugin")</f>
        <v>Metadata Menu Community Plugin</v>
      </c>
      <c r="L1545" s="20" t="s">
        <v>175</v>
      </c>
      <c r="M1545" s="4"/>
      <c r="N1545" s="2" t="s">
        <v>2606</v>
      </c>
      <c r="O1545" s="2"/>
      <c r="P1545" s="4">
        <v>2</v>
      </c>
      <c r="Q1545" s="2" t="s">
        <v>3120</v>
      </c>
      <c r="R1545" s="11">
        <f>SUBTOTAL(3,_xlfn.SINGLE(tbl_file[RowId]))</f>
        <v>1</v>
      </c>
    </row>
    <row r="1546" spans="10:18">
      <c r="J1546" s="4">
        <v>2114</v>
      </c>
      <c r="K1546" s="21" t="str">
        <f>HYPERLINK("obsidian://open?vault=o2&amp;file=Metadata%20Menu%20Community%20Plugin.md","Metadata Menu Community Plugin")</f>
        <v>Metadata Menu Community Plugin</v>
      </c>
      <c r="L1546" s="20" t="s">
        <v>175</v>
      </c>
      <c r="M1546" s="4" t="s">
        <v>2626</v>
      </c>
      <c r="N1546" s="2" t="s">
        <v>2606</v>
      </c>
      <c r="O1546" s="2"/>
      <c r="P1546" s="4">
        <v>1</v>
      </c>
      <c r="Q1546" s="2" t="s">
        <v>601</v>
      </c>
      <c r="R1546" s="11">
        <f>SUBTOTAL(3,_xlfn.SINGLE(tbl_file[RowId]))</f>
        <v>1</v>
      </c>
    </row>
    <row r="1547" spans="10:18">
      <c r="J1547" s="4">
        <v>2116</v>
      </c>
      <c r="K1547" s="21" t="str">
        <f>HYPERLINK("obsidian://open?vault=o2&amp;file=Money%20Moves%20for%202023.md","Money Moves for 2023")</f>
        <v>Money Moves for 2023</v>
      </c>
      <c r="L1547" s="20" t="s">
        <v>175</v>
      </c>
      <c r="M1547" s="4"/>
      <c r="N1547" s="2" t="s">
        <v>12</v>
      </c>
      <c r="O1547" s="2"/>
      <c r="P1547" s="4">
        <v>1</v>
      </c>
      <c r="Q1547" s="2" t="s">
        <v>268</v>
      </c>
      <c r="R1547" s="11">
        <f>SUBTOTAL(3,_xlfn.SINGLE(tbl_file[RowId]))</f>
        <v>1</v>
      </c>
    </row>
    <row r="1548" spans="10:18">
      <c r="J1548" s="4">
        <v>2117</v>
      </c>
      <c r="K1548" s="21" t="str">
        <f>HYPERLINK("obsidian://open?vault=o2&amp;file=Money%20Moves%20for%202023.md","Money Moves for 2023")</f>
        <v>Money Moves for 2023</v>
      </c>
      <c r="L1548" s="20" t="s">
        <v>175</v>
      </c>
      <c r="M1548" s="4"/>
      <c r="N1548" s="2" t="s">
        <v>50</v>
      </c>
      <c r="O1548" s="2"/>
      <c r="P1548" s="4">
        <v>1</v>
      </c>
      <c r="Q1548" s="2" t="s">
        <v>1526</v>
      </c>
      <c r="R1548" s="11">
        <f>SUBTOTAL(3,_xlfn.SINGLE(tbl_file[RowId]))</f>
        <v>1</v>
      </c>
    </row>
    <row r="1549" spans="10:18">
      <c r="J1549" s="4">
        <v>2118</v>
      </c>
      <c r="K1549" s="21" t="str">
        <f>HYPERLINK("obsidian://open?vault=o2&amp;file=Money%20Moves%20for%202023.md","Money Moves for 2023")</f>
        <v>Money Moves for 2023</v>
      </c>
      <c r="L1549" s="20" t="s">
        <v>175</v>
      </c>
      <c r="M1549" s="4"/>
      <c r="N1549" s="2" t="s">
        <v>118</v>
      </c>
      <c r="O1549" s="2"/>
      <c r="P1549" s="4">
        <v>1</v>
      </c>
      <c r="Q1549" s="2" t="s">
        <v>1807</v>
      </c>
      <c r="R1549" s="11">
        <f>SUBTOTAL(3,_xlfn.SINGLE(tbl_file[RowId]))</f>
        <v>1</v>
      </c>
    </row>
    <row r="1550" spans="10:18">
      <c r="J1550" s="4">
        <v>2119</v>
      </c>
      <c r="K1550" s="21" t="str">
        <f>HYPERLINK("obsidian://open?vault=o2&amp;file=Money%20Moves%20for%202023.md","Money Moves for 2023")</f>
        <v>Money Moves for 2023</v>
      </c>
      <c r="L1550" s="20" t="s">
        <v>175</v>
      </c>
      <c r="M1550" s="4"/>
      <c r="N1550" s="2" t="s">
        <v>127</v>
      </c>
      <c r="O1550" s="2"/>
      <c r="P1550" s="4">
        <v>1</v>
      </c>
      <c r="Q1550" s="2" t="s">
        <v>1960</v>
      </c>
      <c r="R1550" s="11">
        <f>SUBTOTAL(3,_xlfn.SINGLE(tbl_file[RowId]))</f>
        <v>1</v>
      </c>
    </row>
    <row r="1551" spans="10:18">
      <c r="J1551" s="4">
        <v>2120</v>
      </c>
      <c r="K1551" s="21" t="str">
        <f>HYPERLINK("obsidian://open?vault=o2&amp;file=Money%20Moves%20for%202023.md","Money Moves for 2023")</f>
        <v>Money Moves for 2023</v>
      </c>
      <c r="L1551" s="20" t="s">
        <v>175</v>
      </c>
      <c r="M1551" s="4"/>
      <c r="N1551" s="2" t="s">
        <v>2606</v>
      </c>
      <c r="O1551" s="2"/>
      <c r="P1551" s="4">
        <v>1</v>
      </c>
      <c r="Q1551" s="2" t="s">
        <v>2340</v>
      </c>
      <c r="R1551" s="11">
        <f>SUBTOTAL(3,_xlfn.SINGLE(tbl_file[RowId]))</f>
        <v>1</v>
      </c>
    </row>
    <row r="1552" spans="10:18">
      <c r="J1552" s="4">
        <v>496</v>
      </c>
      <c r="K1552" s="21" t="str">
        <f>HYPERLINK("obsidian://open?vault=o2&amp;file=Morning%20Mediatations.md","Morning Mediatations")</f>
        <v>Morning Mediatations</v>
      </c>
      <c r="L1552" s="20" t="s">
        <v>175</v>
      </c>
      <c r="M1552" s="4"/>
      <c r="N1552" s="2" t="s">
        <v>2606</v>
      </c>
      <c r="O1552" s="2"/>
      <c r="P1552" s="4">
        <v>1</v>
      </c>
      <c r="Q1552" s="2" t="s">
        <v>2403</v>
      </c>
      <c r="R1552" s="11">
        <f>SUBTOTAL(3,_xlfn.SINGLE(tbl_file[RowId]))</f>
        <v>1</v>
      </c>
    </row>
    <row r="1553" spans="10:18">
      <c r="J1553" s="4">
        <v>1244</v>
      </c>
      <c r="K1553" s="21" t="str">
        <f>HYPERLINK("obsidian://open?vault=o2&amp;file=Mouse%20Cursor%20Freezing%20Issue.md","Mouse Cursor Freezing Issue")</f>
        <v>Mouse Cursor Freezing Issue</v>
      </c>
      <c r="L1553" s="20" t="s">
        <v>175</v>
      </c>
      <c r="M1553" s="4"/>
      <c r="N1553" s="2" t="s">
        <v>127</v>
      </c>
      <c r="O1553" s="2"/>
      <c r="P1553" s="4">
        <v>1</v>
      </c>
      <c r="Q1553" s="2" t="s">
        <v>1958</v>
      </c>
      <c r="R1553" s="11">
        <f>SUBTOTAL(3,_xlfn.SINGLE(tbl_file[RowId]))</f>
        <v>1</v>
      </c>
    </row>
    <row r="1554" spans="10:18">
      <c r="J1554" s="4">
        <v>1245</v>
      </c>
      <c r="K1554" s="21" t="str">
        <f>HYPERLINK("obsidian://open?vault=o2&amp;file=Mouse%20Cursor%20Freezing%20Issue.md","Mouse Cursor Freezing Issue")</f>
        <v>Mouse Cursor Freezing Issue</v>
      </c>
      <c r="L1554" s="20" t="s">
        <v>175</v>
      </c>
      <c r="M1554" s="4"/>
      <c r="N1554" s="2" t="s">
        <v>2606</v>
      </c>
      <c r="O1554" s="2"/>
      <c r="P1554" s="4">
        <v>3</v>
      </c>
      <c r="Q1554" s="2" t="s">
        <v>3008</v>
      </c>
      <c r="R1554" s="11">
        <f>SUBTOTAL(3,_xlfn.SINGLE(tbl_file[RowId]))</f>
        <v>1</v>
      </c>
    </row>
    <row r="1555" spans="10:18">
      <c r="J1555" s="4">
        <v>1246</v>
      </c>
      <c r="K1555" s="21" t="str">
        <f>HYPERLINK("obsidian://open?vault=o2&amp;file=Mouse%20Cursor%20Freezing%20Issue.md","Mouse Cursor Freezing Issue")</f>
        <v>Mouse Cursor Freezing Issue</v>
      </c>
      <c r="L1555" s="20" t="s">
        <v>175</v>
      </c>
      <c r="M1555" s="4"/>
      <c r="N1555" s="2" t="s">
        <v>133</v>
      </c>
      <c r="O1555" s="2"/>
      <c r="P1555" s="4">
        <v>1</v>
      </c>
      <c r="Q1555" s="2" t="s">
        <v>2614</v>
      </c>
      <c r="R1555" s="11">
        <f>SUBTOTAL(3,_xlfn.SINGLE(tbl_file[RowId]))</f>
        <v>1</v>
      </c>
    </row>
    <row r="1556" spans="10:18">
      <c r="J1556" s="4">
        <v>1027</v>
      </c>
      <c r="K1556" s="21" t="str">
        <f>HYPERLINK("obsidian://open?vault=o2&amp;file=Moving%20Checklist%20A%20Timeline%20for%20Your%20Upcoming%20Move%20%20Moving.com.md","Moving Checklist A Timeline for Your Upcoming Move  Moving.com")</f>
        <v>Moving Checklist A Timeline for Your Upcoming Move  Moving.com</v>
      </c>
      <c r="L1556" s="20" t="s">
        <v>175</v>
      </c>
      <c r="M1556" s="4" t="s">
        <v>2626</v>
      </c>
      <c r="N1556" s="2" t="s">
        <v>2606</v>
      </c>
      <c r="O1556" s="2"/>
      <c r="P1556" s="4">
        <v>2</v>
      </c>
      <c r="Q1556" s="2" t="s">
        <v>2972</v>
      </c>
      <c r="R1556" s="11">
        <f>SUBTOTAL(3,_xlfn.SINGLE(tbl_file[RowId]))</f>
        <v>1</v>
      </c>
    </row>
    <row r="1557" spans="10:18">
      <c r="J1557" s="4">
        <v>2121</v>
      </c>
      <c r="K1557" s="21" t="str">
        <f>HYPERLINK("obsidian://open?vault=o2&amp;file=My%20Addons.md","My Addons")</f>
        <v>My Addons</v>
      </c>
      <c r="L1557" s="20" t="s">
        <v>175</v>
      </c>
      <c r="M1557" s="4"/>
      <c r="N1557" s="2" t="s">
        <v>50</v>
      </c>
      <c r="O1557" s="2"/>
      <c r="P1557" s="4">
        <v>1</v>
      </c>
      <c r="Q1557" s="2" t="s">
        <v>1528</v>
      </c>
      <c r="R1557" s="11">
        <f>SUBTOTAL(3,_xlfn.SINGLE(tbl_file[RowId]))</f>
        <v>1</v>
      </c>
    </row>
    <row r="1558" spans="10:18">
      <c r="J1558" s="4">
        <v>2122</v>
      </c>
      <c r="K1558" s="21" t="str">
        <f>HYPERLINK("obsidian://open?vault=o2&amp;file=My%20Adobe%20CS5.5%20Notes.md","My Adobe CS5.5 Notes")</f>
        <v>My Adobe CS5.5 Notes</v>
      </c>
      <c r="L1558" s="20" t="s">
        <v>175</v>
      </c>
      <c r="M1558" s="4"/>
      <c r="N1558" s="2" t="s">
        <v>17</v>
      </c>
      <c r="O1558" s="2"/>
      <c r="P1558" s="4">
        <v>1</v>
      </c>
      <c r="Q1558" s="2" t="s">
        <v>2667</v>
      </c>
      <c r="R1558" s="11">
        <f>SUBTOTAL(3,_xlfn.SINGLE(tbl_file[RowId]))</f>
        <v>1</v>
      </c>
    </row>
    <row r="1559" spans="10:18">
      <c r="J1559" s="4">
        <v>2123</v>
      </c>
      <c r="K1559" s="21" t="str">
        <f>HYPERLINK("obsidian://open?vault=o2&amp;file=My%20Adobe%20CS5.5%20Notes.md","My Adobe CS5.5 Notes")</f>
        <v>My Adobe CS5.5 Notes</v>
      </c>
      <c r="L1559" s="20" t="s">
        <v>175</v>
      </c>
      <c r="M1559" s="4"/>
      <c r="N1559" s="2" t="s">
        <v>50</v>
      </c>
      <c r="O1559" s="2"/>
      <c r="P1559" s="4">
        <v>1</v>
      </c>
      <c r="Q1559" s="2" t="s">
        <v>1530</v>
      </c>
      <c r="R1559" s="11">
        <f>SUBTOTAL(3,_xlfn.SINGLE(tbl_file[RowId]))</f>
        <v>1</v>
      </c>
    </row>
    <row r="1560" spans="10:18">
      <c r="J1560" s="4">
        <v>2124</v>
      </c>
      <c r="K1560" s="21" t="str">
        <f>HYPERLINK("obsidian://open?vault=o2&amp;file=My%20Adobe%20CS5.5%20Notes.md","My Adobe CS5.5 Notes")</f>
        <v>My Adobe CS5.5 Notes</v>
      </c>
      <c r="L1560" s="20" t="s">
        <v>175</v>
      </c>
      <c r="M1560" s="4"/>
      <c r="N1560" s="2" t="s">
        <v>127</v>
      </c>
      <c r="O1560" s="2"/>
      <c r="P1560" s="4">
        <v>1</v>
      </c>
      <c r="Q1560" s="2" t="s">
        <v>1958</v>
      </c>
      <c r="R1560" s="11">
        <f>SUBTOTAL(3,_xlfn.SINGLE(tbl_file[RowId]))</f>
        <v>1</v>
      </c>
    </row>
    <row r="1561" spans="10:18">
      <c r="J1561" s="4">
        <v>2125</v>
      </c>
      <c r="K1561" s="21" t="str">
        <f>HYPERLINK("obsidian://open?vault=o2&amp;file=My%20Adobe%20CS5.5%20Notes.md","My Adobe CS5.5 Notes")</f>
        <v>My Adobe CS5.5 Notes</v>
      </c>
      <c r="L1561" s="20" t="s">
        <v>175</v>
      </c>
      <c r="M1561" s="4"/>
      <c r="N1561" s="2" t="s">
        <v>2606</v>
      </c>
      <c r="O1561" s="2"/>
      <c r="P1561" s="4">
        <v>4</v>
      </c>
      <c r="Q1561" s="2" t="s">
        <v>2642</v>
      </c>
      <c r="R1561" s="11">
        <f>SUBTOTAL(3,_xlfn.SINGLE(tbl_file[RowId]))</f>
        <v>1</v>
      </c>
    </row>
    <row r="1562" spans="10:18">
      <c r="J1562" s="4">
        <v>2126</v>
      </c>
      <c r="K1562" s="21" t="str">
        <f>HYPERLINK("obsidian://open?vault=o2&amp;file=My%20Adobe%20CS5.5%20Notes.md","My Adobe CS5.5 Notes")</f>
        <v>My Adobe CS5.5 Notes</v>
      </c>
      <c r="L1562" s="20" t="s">
        <v>175</v>
      </c>
      <c r="M1562" s="4"/>
      <c r="N1562" s="2" t="s">
        <v>133</v>
      </c>
      <c r="O1562" s="2"/>
      <c r="P1562" s="4">
        <v>1</v>
      </c>
      <c r="Q1562" s="2" t="s">
        <v>2614</v>
      </c>
      <c r="R1562" s="11">
        <f>SUBTOTAL(3,_xlfn.SINGLE(tbl_file[RowId]))</f>
        <v>1</v>
      </c>
    </row>
    <row r="1563" spans="10:18">
      <c r="J1563" s="4">
        <v>665</v>
      </c>
      <c r="K1563" s="21" t="str">
        <f t="shared" ref="K1563:K1577" si="52">HYPERLINK("obsidian://open?vault=o2&amp;file=My%20Clean%2C%20Modern%20Desk%20Setup%20for%20Productivity%20%26%20Creativity.md","My Clean, Modern Desk Setup for Productivity &amp; Creativity")</f>
        <v>My Clean, Modern Desk Setup for Productivity &amp; Creativity</v>
      </c>
      <c r="L1563" s="20" t="s">
        <v>175</v>
      </c>
      <c r="M1563" s="4"/>
      <c r="N1563" s="2" t="s">
        <v>11</v>
      </c>
      <c r="O1563" s="2"/>
      <c r="P1563" s="4">
        <v>1</v>
      </c>
      <c r="Q1563" s="2" t="s">
        <v>226</v>
      </c>
      <c r="R1563" s="11">
        <f>SUBTOTAL(3,_xlfn.SINGLE(tbl_file[RowId]))</f>
        <v>1</v>
      </c>
    </row>
    <row r="1564" spans="10:18">
      <c r="J1564" s="4">
        <v>666</v>
      </c>
      <c r="K1564" s="21" t="str">
        <f t="shared" si="52"/>
        <v>My Clean, Modern Desk Setup for Productivity &amp; Creativity</v>
      </c>
      <c r="L1564" s="20" t="s">
        <v>175</v>
      </c>
      <c r="M1564" s="4"/>
      <c r="N1564" s="2" t="s">
        <v>13</v>
      </c>
      <c r="O1564" s="2"/>
      <c r="P1564" s="4">
        <v>1</v>
      </c>
      <c r="Q1564" s="2" t="s">
        <v>324</v>
      </c>
      <c r="R1564" s="11">
        <f>SUBTOTAL(3,_xlfn.SINGLE(tbl_file[RowId]))</f>
        <v>1</v>
      </c>
    </row>
    <row r="1565" spans="10:18">
      <c r="J1565" s="4">
        <v>667</v>
      </c>
      <c r="K1565" s="21" t="str">
        <f t="shared" si="52"/>
        <v>My Clean, Modern Desk Setup for Productivity &amp; Creativity</v>
      </c>
      <c r="L1565" s="20" t="s">
        <v>175</v>
      </c>
      <c r="M1565" s="4"/>
      <c r="N1565" s="2" t="s">
        <v>16</v>
      </c>
      <c r="O1565" s="2"/>
      <c r="P1565" s="4">
        <v>1</v>
      </c>
      <c r="Q1565" s="2" t="s">
        <v>324</v>
      </c>
      <c r="R1565" s="11">
        <f>SUBTOTAL(3,_xlfn.SINGLE(tbl_file[RowId]))</f>
        <v>1</v>
      </c>
    </row>
    <row r="1566" spans="10:18">
      <c r="J1566" s="4">
        <v>668</v>
      </c>
      <c r="K1566" s="21" t="str">
        <f t="shared" si="52"/>
        <v>My Clean, Modern Desk Setup for Productivity &amp; Creativity</v>
      </c>
      <c r="L1566" s="20" t="s">
        <v>175</v>
      </c>
      <c r="M1566" s="4"/>
      <c r="N1566" s="2" t="s">
        <v>37</v>
      </c>
      <c r="O1566" s="2"/>
      <c r="P1566" s="4">
        <v>1</v>
      </c>
      <c r="Q1566" s="2" t="s">
        <v>563</v>
      </c>
      <c r="R1566" s="11">
        <f>SUBTOTAL(3,_xlfn.SINGLE(tbl_file[RowId]))</f>
        <v>1</v>
      </c>
    </row>
    <row r="1567" spans="10:18">
      <c r="J1567" s="4">
        <v>669</v>
      </c>
      <c r="K1567" s="21" t="str">
        <f t="shared" si="52"/>
        <v>My Clean, Modern Desk Setup for Productivity &amp; Creativity</v>
      </c>
      <c r="L1567" s="20" t="s">
        <v>175</v>
      </c>
      <c r="M1567" s="4"/>
      <c r="N1567" s="2" t="s">
        <v>43</v>
      </c>
      <c r="O1567" s="2"/>
      <c r="P1567" s="4">
        <v>1</v>
      </c>
      <c r="Q1567" s="2" t="s">
        <v>2634</v>
      </c>
      <c r="R1567" s="11">
        <f>SUBTOTAL(3,_xlfn.SINGLE(tbl_file[RowId]))</f>
        <v>1</v>
      </c>
    </row>
    <row r="1568" spans="10:18">
      <c r="J1568" s="4">
        <v>670</v>
      </c>
      <c r="K1568" s="21" t="str">
        <f t="shared" si="52"/>
        <v>My Clean, Modern Desk Setup for Productivity &amp; Creativity</v>
      </c>
      <c r="L1568" s="20" t="s">
        <v>175</v>
      </c>
      <c r="M1568" s="4"/>
      <c r="N1568" s="2" t="s">
        <v>48</v>
      </c>
      <c r="O1568" s="2"/>
      <c r="P1568" s="4">
        <v>11</v>
      </c>
      <c r="Q1568" s="2" t="s">
        <v>2746</v>
      </c>
      <c r="R1568" s="11">
        <f>SUBTOTAL(3,_xlfn.SINGLE(tbl_file[RowId]))</f>
        <v>1</v>
      </c>
    </row>
    <row r="1569" spans="10:18">
      <c r="J1569" s="4">
        <v>671</v>
      </c>
      <c r="K1569" s="21" t="str">
        <f t="shared" si="52"/>
        <v>My Clean, Modern Desk Setup for Productivity &amp; Creativity</v>
      </c>
      <c r="L1569" s="20" t="s">
        <v>175</v>
      </c>
      <c r="M1569" s="4"/>
      <c r="N1569" s="2" t="s">
        <v>119</v>
      </c>
      <c r="O1569" s="2"/>
      <c r="P1569" s="4">
        <v>1</v>
      </c>
      <c r="Q1569" s="2" t="s">
        <v>2747</v>
      </c>
      <c r="R1569" s="11">
        <f>SUBTOTAL(3,_xlfn.SINGLE(tbl_file[RowId]))</f>
        <v>1</v>
      </c>
    </row>
    <row r="1570" spans="10:18">
      <c r="J1570" s="4">
        <v>672</v>
      </c>
      <c r="K1570" s="21" t="str">
        <f t="shared" si="52"/>
        <v>My Clean, Modern Desk Setup for Productivity &amp; Creativity</v>
      </c>
      <c r="L1570" s="20" t="s">
        <v>175</v>
      </c>
      <c r="M1570" s="4"/>
      <c r="N1570" s="2" t="s">
        <v>121</v>
      </c>
      <c r="O1570" s="2"/>
      <c r="P1570" s="4">
        <v>1</v>
      </c>
      <c r="Q1570" s="2" t="s">
        <v>1851</v>
      </c>
      <c r="R1570" s="11">
        <f>SUBTOTAL(3,_xlfn.SINGLE(tbl_file[RowId]))</f>
        <v>1</v>
      </c>
    </row>
    <row r="1571" spans="10:18">
      <c r="J1571" s="4">
        <v>673</v>
      </c>
      <c r="K1571" s="21" t="str">
        <f t="shared" si="52"/>
        <v>My Clean, Modern Desk Setup for Productivity &amp; Creativity</v>
      </c>
      <c r="L1571" s="20" t="s">
        <v>175</v>
      </c>
      <c r="M1571" s="4"/>
      <c r="N1571" s="2" t="s">
        <v>126</v>
      </c>
      <c r="O1571" s="2"/>
      <c r="P1571" s="4">
        <v>1</v>
      </c>
      <c r="Q1571" s="2" t="s">
        <v>2719</v>
      </c>
      <c r="R1571" s="11">
        <f>SUBTOTAL(3,_xlfn.SINGLE(tbl_file[RowId]))</f>
        <v>1</v>
      </c>
    </row>
    <row r="1572" spans="10:18">
      <c r="J1572" s="4">
        <v>674</v>
      </c>
      <c r="K1572" s="21" t="str">
        <f t="shared" si="52"/>
        <v>My Clean, Modern Desk Setup for Productivity &amp; Creativity</v>
      </c>
      <c r="L1572" s="20" t="s">
        <v>175</v>
      </c>
      <c r="M1572" s="4"/>
      <c r="N1572" s="2" t="s">
        <v>127</v>
      </c>
      <c r="O1572" s="2"/>
      <c r="P1572" s="4">
        <v>1</v>
      </c>
      <c r="Q1572" s="2" t="s">
        <v>1970</v>
      </c>
      <c r="R1572" s="11">
        <f>SUBTOTAL(3,_xlfn.SINGLE(tbl_file[RowId]))</f>
        <v>1</v>
      </c>
    </row>
    <row r="1573" spans="10:18">
      <c r="J1573" s="4">
        <v>675</v>
      </c>
      <c r="K1573" s="21" t="str">
        <f t="shared" si="52"/>
        <v>My Clean, Modern Desk Setup for Productivity &amp; Creativity</v>
      </c>
      <c r="L1573" s="20" t="s">
        <v>175</v>
      </c>
      <c r="M1573" s="4"/>
      <c r="N1573" s="2" t="s">
        <v>2606</v>
      </c>
      <c r="O1573" s="2"/>
      <c r="P1573" s="4">
        <v>1</v>
      </c>
      <c r="Q1573" s="2" t="s">
        <v>2377</v>
      </c>
      <c r="R1573" s="11">
        <f>SUBTOTAL(3,_xlfn.SINGLE(tbl_file[RowId]))</f>
        <v>1</v>
      </c>
    </row>
    <row r="1574" spans="10:18">
      <c r="J1574" s="4">
        <v>676</v>
      </c>
      <c r="K1574" s="21" t="str">
        <f t="shared" si="52"/>
        <v>My Clean, Modern Desk Setup for Productivity &amp; Creativity</v>
      </c>
      <c r="L1574" s="20" t="s">
        <v>175</v>
      </c>
      <c r="M1574" s="4"/>
      <c r="N1574" s="2" t="s">
        <v>131</v>
      </c>
      <c r="O1574" s="2"/>
      <c r="P1574" s="4">
        <v>1</v>
      </c>
      <c r="Q1574" s="2" t="s">
        <v>1993</v>
      </c>
      <c r="R1574" s="11">
        <f>SUBTOTAL(3,_xlfn.SINGLE(tbl_file[RowId]))</f>
        <v>1</v>
      </c>
    </row>
    <row r="1575" spans="10:18">
      <c r="J1575" s="4">
        <v>677</v>
      </c>
      <c r="K1575" s="21" t="str">
        <f t="shared" si="52"/>
        <v>My Clean, Modern Desk Setup for Productivity &amp; Creativity</v>
      </c>
      <c r="L1575" s="20" t="s">
        <v>175</v>
      </c>
      <c r="M1575" s="4"/>
      <c r="N1575" s="2" t="s">
        <v>132</v>
      </c>
      <c r="O1575" s="2"/>
      <c r="P1575" s="4">
        <v>1</v>
      </c>
      <c r="Q1575" s="2" t="s">
        <v>226</v>
      </c>
      <c r="R1575" s="11">
        <f>SUBTOTAL(3,_xlfn.SINGLE(tbl_file[RowId]))</f>
        <v>1</v>
      </c>
    </row>
    <row r="1576" spans="10:18">
      <c r="J1576" s="4">
        <v>678</v>
      </c>
      <c r="K1576" s="21" t="str">
        <f t="shared" si="52"/>
        <v>My Clean, Modern Desk Setup for Productivity &amp; Creativity</v>
      </c>
      <c r="L1576" s="20" t="s">
        <v>175</v>
      </c>
      <c r="M1576" s="4"/>
      <c r="N1576" s="2" t="s">
        <v>137</v>
      </c>
      <c r="O1576" s="2"/>
      <c r="P1576" s="4">
        <v>1</v>
      </c>
      <c r="Q1576" s="2" t="s">
        <v>2223</v>
      </c>
      <c r="R1576" s="11">
        <f>SUBTOTAL(3,_xlfn.SINGLE(tbl_file[RowId]))</f>
        <v>1</v>
      </c>
    </row>
    <row r="1577" spans="10:18">
      <c r="J1577" s="4">
        <v>679</v>
      </c>
      <c r="K1577" s="21" t="str">
        <f t="shared" si="52"/>
        <v>My Clean, Modern Desk Setup for Productivity &amp; Creativity</v>
      </c>
      <c r="L1577" s="20" t="s">
        <v>175</v>
      </c>
      <c r="M1577" s="4" t="s">
        <v>2626</v>
      </c>
      <c r="N1577" s="2" t="s">
        <v>2606</v>
      </c>
      <c r="O1577" s="2"/>
      <c r="P1577" s="4">
        <v>1</v>
      </c>
      <c r="Q1577" s="2" t="s">
        <v>2371</v>
      </c>
      <c r="R1577" s="11">
        <f>SUBTOTAL(3,_xlfn.SINGLE(tbl_file[RowId]))</f>
        <v>1</v>
      </c>
    </row>
    <row r="1578" spans="10:18">
      <c r="J1578" s="4">
        <v>1247</v>
      </c>
      <c r="K1578" s="21" t="str">
        <f>HYPERLINK("obsidian://open?vault=o2&amp;file=My%20Dropbox%20Notes.md","My Dropbox Notes")</f>
        <v>My Dropbox Notes</v>
      </c>
      <c r="L1578" s="20" t="s">
        <v>175</v>
      </c>
      <c r="M1578" s="4"/>
      <c r="N1578" s="2" t="s">
        <v>50</v>
      </c>
      <c r="O1578" s="2"/>
      <c r="P1578" s="4">
        <v>1</v>
      </c>
      <c r="Q1578" s="2" t="s">
        <v>1534</v>
      </c>
      <c r="R1578" s="11">
        <f>SUBTOTAL(3,_xlfn.SINGLE(tbl_file[RowId]))</f>
        <v>1</v>
      </c>
    </row>
    <row r="1579" spans="10:18">
      <c r="J1579" s="4">
        <v>1248</v>
      </c>
      <c r="K1579" s="21" t="str">
        <f>HYPERLINK("obsidian://open?vault=o2&amp;file=My%20Dropbox%20Notes.md","My Dropbox Notes")</f>
        <v>My Dropbox Notes</v>
      </c>
      <c r="L1579" s="20" t="s">
        <v>175</v>
      </c>
      <c r="M1579" s="4"/>
      <c r="N1579" s="2" t="s">
        <v>127</v>
      </c>
      <c r="O1579" s="2"/>
      <c r="P1579" s="4">
        <v>1</v>
      </c>
      <c r="Q1579" s="2" t="s">
        <v>1958</v>
      </c>
      <c r="R1579" s="11">
        <f>SUBTOTAL(3,_xlfn.SINGLE(tbl_file[RowId]))</f>
        <v>1</v>
      </c>
    </row>
    <row r="1580" spans="10:18">
      <c r="J1580" s="4">
        <v>1249</v>
      </c>
      <c r="K1580" s="21" t="str">
        <f>HYPERLINK("obsidian://open?vault=o2&amp;file=My%20Dropbox%20Notes.md","My Dropbox Notes")</f>
        <v>My Dropbox Notes</v>
      </c>
      <c r="L1580" s="20" t="s">
        <v>175</v>
      </c>
      <c r="M1580" s="4"/>
      <c r="N1580" s="2" t="s">
        <v>2606</v>
      </c>
      <c r="O1580" s="2"/>
      <c r="P1580" s="4">
        <v>4</v>
      </c>
      <c r="Q1580" s="2" t="s">
        <v>2642</v>
      </c>
      <c r="R1580" s="11">
        <f>SUBTOTAL(3,_xlfn.SINGLE(tbl_file[RowId]))</f>
        <v>1</v>
      </c>
    </row>
    <row r="1581" spans="10:18">
      <c r="J1581" s="4">
        <v>1250</v>
      </c>
      <c r="K1581" s="21" t="str">
        <f>HYPERLINK("obsidian://open?vault=o2&amp;file=My%20Dropbox%20Notes.md","My Dropbox Notes")</f>
        <v>My Dropbox Notes</v>
      </c>
      <c r="L1581" s="20" t="s">
        <v>175</v>
      </c>
      <c r="M1581" s="4"/>
      <c r="N1581" s="2" t="s">
        <v>133</v>
      </c>
      <c r="O1581" s="2"/>
      <c r="P1581" s="4">
        <v>1</v>
      </c>
      <c r="Q1581" s="2" t="s">
        <v>2614</v>
      </c>
      <c r="R1581" s="11">
        <f>SUBTOTAL(3,_xlfn.SINGLE(tbl_file[RowId]))</f>
        <v>1</v>
      </c>
    </row>
    <row r="1582" spans="10:18">
      <c r="J1582" s="4">
        <v>2127</v>
      </c>
      <c r="K1582" s="21" t="str">
        <f>HYPERLINK("obsidian://open?vault=o2&amp;file=My%20Firefox%20Plugins-2024.md","My Firefox Plugins-2024")</f>
        <v>My Firefox Plugins-2024</v>
      </c>
      <c r="L1582" s="20" t="s">
        <v>175</v>
      </c>
      <c r="M1582" s="4"/>
      <c r="N1582" s="2" t="s">
        <v>50</v>
      </c>
      <c r="O1582" s="2"/>
      <c r="P1582" s="4">
        <v>1</v>
      </c>
      <c r="Q1582" s="2" t="s">
        <v>1532</v>
      </c>
      <c r="R1582" s="11">
        <f>SUBTOTAL(3,_xlfn.SINGLE(tbl_file[RowId]))</f>
        <v>1</v>
      </c>
    </row>
    <row r="1583" spans="10:18">
      <c r="J1583" s="4">
        <v>2128</v>
      </c>
      <c r="K1583" s="21" t="str">
        <f>HYPERLINK("obsidian://open?vault=o2&amp;file=My%20Firefox%20Plugins-2024.md","My Firefox Plugins-2024")</f>
        <v>My Firefox Plugins-2024</v>
      </c>
      <c r="L1583" s="20" t="s">
        <v>175</v>
      </c>
      <c r="M1583" s="4"/>
      <c r="N1583" s="2" t="s">
        <v>127</v>
      </c>
      <c r="O1583" s="2"/>
      <c r="P1583" s="4">
        <v>1</v>
      </c>
      <c r="Q1583" s="2" t="s">
        <v>1958</v>
      </c>
      <c r="R1583" s="11">
        <f>SUBTOTAL(3,_xlfn.SINGLE(tbl_file[RowId]))</f>
        <v>1</v>
      </c>
    </row>
    <row r="1584" spans="10:18">
      <c r="J1584" s="4">
        <v>2129</v>
      </c>
      <c r="K1584" s="21" t="str">
        <f>HYPERLINK("obsidian://open?vault=o2&amp;file=My%20Firefox%20Plugins-2024.md","My Firefox Plugins-2024")</f>
        <v>My Firefox Plugins-2024</v>
      </c>
      <c r="L1584" s="20" t="s">
        <v>175</v>
      </c>
      <c r="M1584" s="4"/>
      <c r="N1584" s="2" t="s">
        <v>2606</v>
      </c>
      <c r="O1584" s="2"/>
      <c r="P1584" s="4">
        <v>4</v>
      </c>
      <c r="Q1584" s="2" t="s">
        <v>3121</v>
      </c>
      <c r="R1584" s="11">
        <f>SUBTOTAL(3,_xlfn.SINGLE(tbl_file[RowId]))</f>
        <v>1</v>
      </c>
    </row>
    <row r="1585" spans="10:18">
      <c r="J1585" s="4">
        <v>2130</v>
      </c>
      <c r="K1585" s="21" t="str">
        <f>HYPERLINK("obsidian://open?vault=o2&amp;file=My%20Firefox%20Plugins-2024.md","My Firefox Plugins-2024")</f>
        <v>My Firefox Plugins-2024</v>
      </c>
      <c r="L1585" s="20" t="s">
        <v>175</v>
      </c>
      <c r="M1585" s="4"/>
      <c r="N1585" s="2" t="s">
        <v>133</v>
      </c>
      <c r="O1585" s="2"/>
      <c r="P1585" s="4">
        <v>1</v>
      </c>
      <c r="Q1585" s="2" t="s">
        <v>2614</v>
      </c>
      <c r="R1585" s="11">
        <f>SUBTOTAL(3,_xlfn.SINGLE(tbl_file[RowId]))</f>
        <v>1</v>
      </c>
    </row>
    <row r="1586" spans="10:18">
      <c r="J1586" s="4">
        <v>2131</v>
      </c>
      <c r="K1586" s="21" t="str">
        <f>HYPERLINK("obsidian://open?vault=o2&amp;file=My%20Hotkeys.md","My Hotkeys")</f>
        <v>My Hotkeys</v>
      </c>
      <c r="L1586" s="20" t="s">
        <v>175</v>
      </c>
      <c r="M1586" s="4"/>
      <c r="N1586" s="2" t="s">
        <v>50</v>
      </c>
      <c r="O1586" s="2"/>
      <c r="P1586" s="4">
        <v>1</v>
      </c>
      <c r="Q1586" s="2" t="s">
        <v>1432</v>
      </c>
      <c r="R1586" s="11">
        <f>SUBTOTAL(3,_xlfn.SINGLE(tbl_file[RowId]))</f>
        <v>1</v>
      </c>
    </row>
    <row r="1587" spans="10:18">
      <c r="J1587" s="4">
        <v>2132</v>
      </c>
      <c r="K1587" s="21" t="str">
        <f>HYPERLINK("obsidian://open?vault=o2&amp;file=My%20Hotkeys.md","My Hotkeys")</f>
        <v>My Hotkeys</v>
      </c>
      <c r="L1587" s="20" t="s">
        <v>175</v>
      </c>
      <c r="M1587" s="4"/>
      <c r="N1587" s="2" t="s">
        <v>123</v>
      </c>
      <c r="O1587" s="2"/>
      <c r="P1587" s="4">
        <v>1</v>
      </c>
      <c r="Q1587" s="2" t="s">
        <v>1564</v>
      </c>
      <c r="R1587" s="11">
        <f>SUBTOTAL(3,_xlfn.SINGLE(tbl_file[RowId]))</f>
        <v>1</v>
      </c>
    </row>
    <row r="1588" spans="10:18">
      <c r="J1588" s="4">
        <v>2133</v>
      </c>
      <c r="K1588" s="21" t="str">
        <f>HYPERLINK("obsidian://open?vault=o2&amp;file=My%20Hotkeys.md","My Hotkeys")</f>
        <v>My Hotkeys</v>
      </c>
      <c r="L1588" s="20" t="s">
        <v>175</v>
      </c>
      <c r="M1588" s="4"/>
      <c r="N1588" s="2" t="s">
        <v>127</v>
      </c>
      <c r="O1588" s="2"/>
      <c r="P1588" s="4">
        <v>1</v>
      </c>
      <c r="Q1588" s="2" t="s">
        <v>1952</v>
      </c>
      <c r="R1588" s="11">
        <f>SUBTOTAL(3,_xlfn.SINGLE(tbl_file[RowId]))</f>
        <v>1</v>
      </c>
    </row>
    <row r="1589" spans="10:18">
      <c r="J1589" s="4">
        <v>2134</v>
      </c>
      <c r="K1589" s="21" t="str">
        <f>HYPERLINK("obsidian://open?vault=o2&amp;file=My%20Hotkeys.md","My Hotkeys")</f>
        <v>My Hotkeys</v>
      </c>
      <c r="L1589" s="20" t="s">
        <v>175</v>
      </c>
      <c r="M1589" s="4"/>
      <c r="N1589" s="2" t="s">
        <v>129</v>
      </c>
      <c r="O1589" s="2"/>
      <c r="P1589" s="4">
        <v>1</v>
      </c>
      <c r="Q1589" s="2" t="s">
        <v>1430</v>
      </c>
      <c r="R1589" s="11">
        <f>SUBTOTAL(3,_xlfn.SINGLE(tbl_file[RowId]))</f>
        <v>1</v>
      </c>
    </row>
    <row r="1590" spans="10:18">
      <c r="J1590" s="4">
        <v>2135</v>
      </c>
      <c r="K1590" s="21" t="str">
        <f>HYPERLINK("obsidian://open?vault=o2&amp;file=My%20Hotkeys.md","My Hotkeys")</f>
        <v>My Hotkeys</v>
      </c>
      <c r="L1590" s="20" t="s">
        <v>175</v>
      </c>
      <c r="M1590" s="4"/>
      <c r="N1590" s="2" t="s">
        <v>2606</v>
      </c>
      <c r="O1590" s="2"/>
      <c r="P1590" s="4">
        <v>1</v>
      </c>
      <c r="Q1590" s="2" t="s">
        <v>2559</v>
      </c>
      <c r="R1590" s="11">
        <f>SUBTOTAL(3,_xlfn.SINGLE(tbl_file[RowId]))</f>
        <v>1</v>
      </c>
    </row>
    <row r="1591" spans="10:18">
      <c r="J1591" s="4">
        <v>237</v>
      </c>
      <c r="K1591" s="21" t="str">
        <f>HYPERLINK("obsidian://open?vault=o2&amp;file=My%20Leader%20Keys.md","My Leader Keys")</f>
        <v>My Leader Keys</v>
      </c>
      <c r="L1591" s="20" t="s">
        <v>175</v>
      </c>
      <c r="M1591" s="4"/>
      <c r="N1591" s="2" t="s">
        <v>50</v>
      </c>
      <c r="O1591" s="2"/>
      <c r="P1591" s="4">
        <v>1</v>
      </c>
      <c r="Q1591" s="2" t="s">
        <v>1643</v>
      </c>
      <c r="R1591" s="11">
        <f>SUBTOTAL(3,_xlfn.SINGLE(tbl_file[RowId]))</f>
        <v>1</v>
      </c>
    </row>
    <row r="1592" spans="10:18">
      <c r="J1592" s="4">
        <v>238</v>
      </c>
      <c r="K1592" s="21" t="str">
        <f>HYPERLINK("obsidian://open?vault=o2&amp;file=My%20Leader%20Keys.md","My Leader Keys")</f>
        <v>My Leader Keys</v>
      </c>
      <c r="L1592" s="20" t="s">
        <v>175</v>
      </c>
      <c r="M1592" s="4"/>
      <c r="N1592" s="2" t="s">
        <v>127</v>
      </c>
      <c r="O1592" s="2"/>
      <c r="P1592" s="4">
        <v>1</v>
      </c>
      <c r="Q1592" s="2" t="s">
        <v>1960</v>
      </c>
      <c r="R1592" s="11">
        <f>SUBTOTAL(3,_xlfn.SINGLE(tbl_file[RowId]))</f>
        <v>1</v>
      </c>
    </row>
    <row r="1593" spans="10:18">
      <c r="J1593" s="4">
        <v>239</v>
      </c>
      <c r="K1593" s="21" t="str">
        <f>HYPERLINK("obsidian://open?vault=o2&amp;file=My%20Leader%20Keys.md","My Leader Keys")</f>
        <v>My Leader Keys</v>
      </c>
      <c r="L1593" s="20" t="s">
        <v>175</v>
      </c>
      <c r="M1593" s="4"/>
      <c r="N1593" s="2" t="s">
        <v>2606</v>
      </c>
      <c r="O1593" s="2"/>
      <c r="P1593" s="4">
        <v>3</v>
      </c>
      <c r="Q1593" s="2" t="s">
        <v>2653</v>
      </c>
      <c r="R1593" s="11">
        <f>SUBTOTAL(3,_xlfn.SINGLE(tbl_file[RowId]))</f>
        <v>1</v>
      </c>
    </row>
    <row r="1594" spans="10:18">
      <c r="J1594" s="4">
        <v>240</v>
      </c>
      <c r="K1594" s="21" t="str">
        <f>HYPERLINK("obsidian://open?vault=o2&amp;file=My%20Leader%20Keys.md","My Leader Keys")</f>
        <v>My Leader Keys</v>
      </c>
      <c r="L1594" s="20" t="s">
        <v>175</v>
      </c>
      <c r="M1594" s="4"/>
      <c r="N1594" s="2" t="s">
        <v>133</v>
      </c>
      <c r="O1594" s="2"/>
      <c r="P1594" s="4">
        <v>1</v>
      </c>
      <c r="Q1594" s="2" t="s">
        <v>2111</v>
      </c>
      <c r="R1594" s="11">
        <f>SUBTOTAL(3,_xlfn.SINGLE(tbl_file[RowId]))</f>
        <v>1</v>
      </c>
    </row>
    <row r="1595" spans="10:18">
      <c r="J1595" s="4">
        <v>2136</v>
      </c>
      <c r="K1595" s="21" t="str">
        <f>HYPERLINK("obsidian://open?vault=o2&amp;file=My%20MediaMonkey%20Notes.md","My MediaMonkey Notes")</f>
        <v>My MediaMonkey Notes</v>
      </c>
      <c r="L1595" s="20" t="s">
        <v>175</v>
      </c>
      <c r="M1595" s="4"/>
      <c r="N1595" s="2" t="s">
        <v>50</v>
      </c>
      <c r="O1595" s="2"/>
      <c r="P1595" s="4">
        <v>1</v>
      </c>
      <c r="Q1595" s="2" t="s">
        <v>1534</v>
      </c>
      <c r="R1595" s="11">
        <f>SUBTOTAL(3,_xlfn.SINGLE(tbl_file[RowId]))</f>
        <v>1</v>
      </c>
    </row>
    <row r="1596" spans="10:18">
      <c r="J1596" s="4">
        <v>2137</v>
      </c>
      <c r="K1596" s="21" t="str">
        <f>HYPERLINK("obsidian://open?vault=o2&amp;file=My%20MediaMonkey%20Notes.md","My MediaMonkey Notes")</f>
        <v>My MediaMonkey Notes</v>
      </c>
      <c r="L1596" s="20" t="s">
        <v>175</v>
      </c>
      <c r="M1596" s="4"/>
      <c r="N1596" s="2" t="s">
        <v>127</v>
      </c>
      <c r="O1596" s="2"/>
      <c r="P1596" s="4">
        <v>1</v>
      </c>
      <c r="Q1596" s="2" t="s">
        <v>1958</v>
      </c>
      <c r="R1596" s="11">
        <f>SUBTOTAL(3,_xlfn.SINGLE(tbl_file[RowId]))</f>
        <v>1</v>
      </c>
    </row>
    <row r="1597" spans="10:18">
      <c r="J1597" s="4">
        <v>2138</v>
      </c>
      <c r="K1597" s="21" t="str">
        <f>HYPERLINK("obsidian://open?vault=o2&amp;file=My%20MediaMonkey%20Notes.md","My MediaMonkey Notes")</f>
        <v>My MediaMonkey Notes</v>
      </c>
      <c r="L1597" s="20" t="s">
        <v>175</v>
      </c>
      <c r="M1597" s="4"/>
      <c r="N1597" s="2" t="s">
        <v>2606</v>
      </c>
      <c r="O1597" s="2"/>
      <c r="P1597" s="4">
        <v>4</v>
      </c>
      <c r="Q1597" s="2" t="s">
        <v>2642</v>
      </c>
      <c r="R1597" s="11">
        <f>SUBTOTAL(3,_xlfn.SINGLE(tbl_file[RowId]))</f>
        <v>1</v>
      </c>
    </row>
    <row r="1598" spans="10:18">
      <c r="J1598" s="4">
        <v>2139</v>
      </c>
      <c r="K1598" s="21" t="str">
        <f>HYPERLINK("obsidian://open?vault=o2&amp;file=My%20MediaMonkey%20Notes.md","My MediaMonkey Notes")</f>
        <v>My MediaMonkey Notes</v>
      </c>
      <c r="L1598" s="20" t="s">
        <v>175</v>
      </c>
      <c r="M1598" s="4"/>
      <c r="N1598" s="2" t="s">
        <v>133</v>
      </c>
      <c r="O1598" s="2"/>
      <c r="P1598" s="4">
        <v>1</v>
      </c>
      <c r="Q1598" s="2" t="s">
        <v>2614</v>
      </c>
      <c r="R1598" s="11">
        <f>SUBTOTAL(3,_xlfn.SINGLE(tbl_file[RowId]))</f>
        <v>1</v>
      </c>
    </row>
    <row r="1599" spans="10:18">
      <c r="J1599" s="4">
        <v>497</v>
      </c>
      <c r="K1599" s="21" t="str">
        <f>HYPERLINK("obsidian://open?vault=o2&amp;file=My%20Medical%20Info.md","My Medical Info")</f>
        <v>My Medical Info</v>
      </c>
      <c r="L1599" s="20" t="s">
        <v>175</v>
      </c>
      <c r="M1599" s="4"/>
      <c r="N1599" s="2" t="s">
        <v>50</v>
      </c>
      <c r="O1599" s="2"/>
      <c r="P1599" s="4">
        <v>1</v>
      </c>
      <c r="Q1599" s="2" t="s">
        <v>1668</v>
      </c>
      <c r="R1599" s="11">
        <f>SUBTOTAL(3,_xlfn.SINGLE(tbl_file[RowId]))</f>
        <v>1</v>
      </c>
    </row>
    <row r="1600" spans="10:18">
      <c r="J1600" s="4">
        <v>498</v>
      </c>
      <c r="K1600" s="21" t="str">
        <f>HYPERLINK("obsidian://open?vault=o2&amp;file=My%20Medical%20Info.md","My Medical Info")</f>
        <v>My Medical Info</v>
      </c>
      <c r="L1600" s="20" t="s">
        <v>175</v>
      </c>
      <c r="M1600" s="4"/>
      <c r="N1600" s="2" t="s">
        <v>127</v>
      </c>
      <c r="O1600" s="2"/>
      <c r="P1600" s="4">
        <v>1</v>
      </c>
      <c r="Q1600" s="2" t="s">
        <v>1960</v>
      </c>
      <c r="R1600" s="11">
        <f>SUBTOTAL(3,_xlfn.SINGLE(tbl_file[RowId]))</f>
        <v>1</v>
      </c>
    </row>
    <row r="1601" spans="10:18">
      <c r="J1601" s="4">
        <v>499</v>
      </c>
      <c r="K1601" s="21" t="str">
        <f>HYPERLINK("obsidian://open?vault=o2&amp;file=My%20Medical%20Info.md","My Medical Info")</f>
        <v>My Medical Info</v>
      </c>
      <c r="L1601" s="20" t="s">
        <v>175</v>
      </c>
      <c r="M1601" s="4"/>
      <c r="N1601" s="2" t="s">
        <v>2606</v>
      </c>
      <c r="O1601" s="2"/>
      <c r="P1601" s="4">
        <v>2</v>
      </c>
      <c r="Q1601" s="2" t="s">
        <v>2702</v>
      </c>
      <c r="R1601" s="11">
        <f>SUBTOTAL(3,_xlfn.SINGLE(tbl_file[RowId]))</f>
        <v>1</v>
      </c>
    </row>
    <row r="1602" spans="10:18">
      <c r="J1602" s="4">
        <v>500</v>
      </c>
      <c r="K1602" s="21" t="str">
        <f>HYPERLINK("obsidian://open?vault=o2&amp;file=My%20Medical%20Info.md","My Medical Info")</f>
        <v>My Medical Info</v>
      </c>
      <c r="L1602" s="20" t="s">
        <v>175</v>
      </c>
      <c r="M1602" s="4"/>
      <c r="N1602" s="2" t="s">
        <v>133</v>
      </c>
      <c r="O1602" s="2"/>
      <c r="P1602" s="4">
        <v>1</v>
      </c>
      <c r="Q1602" s="2" t="s">
        <v>2124</v>
      </c>
      <c r="R1602" s="11">
        <f>SUBTOTAL(3,_xlfn.SINGLE(tbl_file[RowId]))</f>
        <v>1</v>
      </c>
    </row>
    <row r="1603" spans="10:18">
      <c r="J1603" s="4">
        <v>1158</v>
      </c>
      <c r="K1603" s="21" t="str">
        <f t="shared" ref="K1603:K1610" si="53">HYPERLINK("obsidian://open?vault=o2&amp;file=My%20PARA.md","My PARA")</f>
        <v>My PARA</v>
      </c>
      <c r="L1603" s="20" t="s">
        <v>175</v>
      </c>
      <c r="M1603" s="4"/>
      <c r="N1603" s="2" t="s">
        <v>12</v>
      </c>
      <c r="O1603" s="2"/>
      <c r="P1603" s="4">
        <v>1</v>
      </c>
      <c r="Q1603" s="2" t="s">
        <v>262</v>
      </c>
      <c r="R1603" s="11">
        <f>SUBTOTAL(3,_xlfn.SINGLE(tbl_file[RowId]))</f>
        <v>1</v>
      </c>
    </row>
    <row r="1604" spans="10:18">
      <c r="J1604" s="4">
        <v>1159</v>
      </c>
      <c r="K1604" s="21" t="str">
        <f t="shared" si="53"/>
        <v>My PARA</v>
      </c>
      <c r="L1604" s="20" t="s">
        <v>175</v>
      </c>
      <c r="M1604" s="4"/>
      <c r="N1604" s="2" t="s">
        <v>14</v>
      </c>
      <c r="O1604" s="2"/>
      <c r="P1604" s="4">
        <v>1</v>
      </c>
      <c r="Q1604" s="2" t="s">
        <v>340</v>
      </c>
      <c r="R1604" s="11">
        <f>SUBTOTAL(3,_xlfn.SINGLE(tbl_file[RowId]))</f>
        <v>1</v>
      </c>
    </row>
    <row r="1605" spans="10:18">
      <c r="J1605" s="4">
        <v>1160</v>
      </c>
      <c r="K1605" s="21" t="str">
        <f t="shared" si="53"/>
        <v>My PARA</v>
      </c>
      <c r="L1605" s="20" t="s">
        <v>175</v>
      </c>
      <c r="M1605" s="4"/>
      <c r="N1605" s="2" t="s">
        <v>48</v>
      </c>
      <c r="O1605" s="2"/>
      <c r="P1605" s="4">
        <v>1</v>
      </c>
      <c r="Q1605" s="2" t="s">
        <v>2634</v>
      </c>
      <c r="R1605" s="11">
        <f>SUBTOTAL(3,_xlfn.SINGLE(tbl_file[RowId]))</f>
        <v>1</v>
      </c>
    </row>
    <row r="1606" spans="10:18">
      <c r="J1606" s="4">
        <v>1161</v>
      </c>
      <c r="K1606" s="21" t="str">
        <f t="shared" si="53"/>
        <v>My PARA</v>
      </c>
      <c r="L1606" s="20" t="s">
        <v>175</v>
      </c>
      <c r="M1606" s="4"/>
      <c r="N1606" s="2" t="s">
        <v>118</v>
      </c>
      <c r="O1606" s="2"/>
      <c r="P1606" s="4">
        <v>1</v>
      </c>
      <c r="Q1606" s="2" t="s">
        <v>1641</v>
      </c>
      <c r="R1606" s="11">
        <f>SUBTOTAL(3,_xlfn.SINGLE(tbl_file[RowId]))</f>
        <v>1</v>
      </c>
    </row>
    <row r="1607" spans="10:18">
      <c r="J1607" s="4">
        <v>1162</v>
      </c>
      <c r="K1607" s="21" t="str">
        <f t="shared" si="53"/>
        <v>My PARA</v>
      </c>
      <c r="L1607" s="20" t="s">
        <v>175</v>
      </c>
      <c r="M1607" s="4"/>
      <c r="N1607" s="2" t="s">
        <v>121</v>
      </c>
      <c r="O1607" s="2"/>
      <c r="P1607" s="4">
        <v>1</v>
      </c>
      <c r="Q1607" s="2" t="s">
        <v>1838</v>
      </c>
      <c r="R1607" s="11">
        <f>SUBTOTAL(3,_xlfn.SINGLE(tbl_file[RowId]))</f>
        <v>1</v>
      </c>
    </row>
    <row r="1608" spans="10:18">
      <c r="J1608" s="4">
        <v>1163</v>
      </c>
      <c r="K1608" s="21" t="str">
        <f t="shared" si="53"/>
        <v>My PARA</v>
      </c>
      <c r="L1608" s="20" t="s">
        <v>175</v>
      </c>
      <c r="M1608" s="4"/>
      <c r="N1608" s="2" t="s">
        <v>127</v>
      </c>
      <c r="O1608" s="2"/>
      <c r="P1608" s="4">
        <v>1</v>
      </c>
      <c r="Q1608" s="2" t="s">
        <v>1956</v>
      </c>
      <c r="R1608" s="11">
        <f>SUBTOTAL(3,_xlfn.SINGLE(tbl_file[RowId]))</f>
        <v>1</v>
      </c>
    </row>
    <row r="1609" spans="10:18">
      <c r="J1609" s="4">
        <v>1164</v>
      </c>
      <c r="K1609" s="21" t="str">
        <f t="shared" si="53"/>
        <v>My PARA</v>
      </c>
      <c r="L1609" s="20" t="s">
        <v>175</v>
      </c>
      <c r="M1609" s="4"/>
      <c r="N1609" s="2" t="s">
        <v>2606</v>
      </c>
      <c r="O1609" s="2"/>
      <c r="P1609" s="4">
        <v>4</v>
      </c>
      <c r="Q1609" s="2" t="s">
        <v>2993</v>
      </c>
      <c r="R1609" s="11">
        <f>SUBTOTAL(3,_xlfn.SINGLE(tbl_file[RowId]))</f>
        <v>1</v>
      </c>
    </row>
    <row r="1610" spans="10:18">
      <c r="J1610" s="4">
        <v>1165</v>
      </c>
      <c r="K1610" s="21" t="str">
        <f t="shared" si="53"/>
        <v>My PARA</v>
      </c>
      <c r="L1610" s="20" t="s">
        <v>175</v>
      </c>
      <c r="M1610" s="4"/>
      <c r="N1610" s="2" t="s">
        <v>133</v>
      </c>
      <c r="O1610" s="2"/>
      <c r="P1610" s="4">
        <v>1</v>
      </c>
      <c r="Q1610" s="2" t="s">
        <v>2113</v>
      </c>
      <c r="R1610" s="11">
        <f>SUBTOTAL(3,_xlfn.SINGLE(tbl_file[RowId]))</f>
        <v>1</v>
      </c>
    </row>
    <row r="1611" spans="10:18">
      <c r="J1611" s="4">
        <v>2140</v>
      </c>
      <c r="K1611" s="21" t="str">
        <f>HYPERLINK("obsidian://open?vault=o2&amp;file=My%20Plugins.md","My Plugins")</f>
        <v>My Plugins</v>
      </c>
      <c r="L1611" s="20" t="s">
        <v>175</v>
      </c>
      <c r="M1611" s="4"/>
      <c r="N1611" s="2" t="s">
        <v>50</v>
      </c>
      <c r="O1611" s="2"/>
      <c r="P1611" s="4">
        <v>2</v>
      </c>
      <c r="Q1611" s="2" t="s">
        <v>3122</v>
      </c>
      <c r="R1611" s="11">
        <f>SUBTOTAL(3,_xlfn.SINGLE(tbl_file[RowId]))</f>
        <v>1</v>
      </c>
    </row>
    <row r="1612" spans="10:18">
      <c r="J1612" s="4">
        <v>2141</v>
      </c>
      <c r="K1612" s="21" t="str">
        <f>HYPERLINK("obsidian://open?vault=o2&amp;file=My%20Plugins.md","My Plugins")</f>
        <v>My Plugins</v>
      </c>
      <c r="L1612" s="20" t="s">
        <v>175</v>
      </c>
      <c r="M1612" s="4"/>
      <c r="N1612" s="2" t="s">
        <v>127</v>
      </c>
      <c r="O1612" s="2"/>
      <c r="P1612" s="4">
        <v>1</v>
      </c>
      <c r="Q1612" s="2" t="s">
        <v>1952</v>
      </c>
      <c r="R1612" s="11">
        <f>SUBTOTAL(3,_xlfn.SINGLE(tbl_file[RowId]))</f>
        <v>1</v>
      </c>
    </row>
    <row r="1613" spans="10:18">
      <c r="J1613" s="4">
        <v>2142</v>
      </c>
      <c r="K1613" s="21" t="str">
        <f>HYPERLINK("obsidian://open?vault=o2&amp;file=My%20Plugins.md","My Plugins")</f>
        <v>My Plugins</v>
      </c>
      <c r="L1613" s="20" t="s">
        <v>175</v>
      </c>
      <c r="M1613" s="4"/>
      <c r="N1613" s="2" t="s">
        <v>129</v>
      </c>
      <c r="O1613" s="2"/>
      <c r="P1613" s="4">
        <v>1</v>
      </c>
      <c r="Q1613" s="2" t="s">
        <v>1430</v>
      </c>
      <c r="R1613" s="11">
        <f>SUBTOTAL(3,_xlfn.SINGLE(tbl_file[RowId]))</f>
        <v>1</v>
      </c>
    </row>
    <row r="1614" spans="10:18">
      <c r="J1614" s="4">
        <v>2143</v>
      </c>
      <c r="K1614" s="21" t="str">
        <f>HYPERLINK("obsidian://open?vault=o2&amp;file=My%20Plugins.md","My Plugins")</f>
        <v>My Plugins</v>
      </c>
      <c r="L1614" s="20" t="s">
        <v>175</v>
      </c>
      <c r="M1614" s="4"/>
      <c r="N1614" s="2" t="s">
        <v>2606</v>
      </c>
      <c r="O1614" s="2"/>
      <c r="P1614" s="4">
        <v>1</v>
      </c>
      <c r="Q1614" s="2" t="s">
        <v>2420</v>
      </c>
      <c r="R1614" s="11">
        <f>SUBTOTAL(3,_xlfn.SINGLE(tbl_file[RowId]))</f>
        <v>1</v>
      </c>
    </row>
    <row r="1615" spans="10:18">
      <c r="J1615" s="4">
        <v>501</v>
      </c>
      <c r="K1615" s="21" t="str">
        <f t="shared" ref="K1615:K1621" si="54">HYPERLINK("obsidian://open?vault=o2&amp;file=My%20Sizes.md","My Sizes")</f>
        <v>My Sizes</v>
      </c>
      <c r="L1615" s="20" t="s">
        <v>175</v>
      </c>
      <c r="M1615" s="4"/>
      <c r="N1615" s="2" t="s">
        <v>48</v>
      </c>
      <c r="O1615" s="2"/>
      <c r="P1615" s="4">
        <v>1</v>
      </c>
      <c r="Q1615" s="2"/>
      <c r="R1615" s="11">
        <f>SUBTOTAL(3,_xlfn.SINGLE(tbl_file[RowId]))</f>
        <v>1</v>
      </c>
    </row>
    <row r="1616" spans="10:18">
      <c r="J1616" s="4">
        <v>502</v>
      </c>
      <c r="K1616" s="21" t="str">
        <f t="shared" si="54"/>
        <v>My Sizes</v>
      </c>
      <c r="L1616" s="20" t="s">
        <v>175</v>
      </c>
      <c r="M1616" s="4"/>
      <c r="N1616" s="2" t="s">
        <v>50</v>
      </c>
      <c r="O1616" s="2"/>
      <c r="P1616" s="4">
        <v>1</v>
      </c>
      <c r="Q1616" s="2" t="s">
        <v>2634</v>
      </c>
      <c r="R1616" s="11">
        <f>SUBTOTAL(3,_xlfn.SINGLE(tbl_file[RowId]))</f>
        <v>1</v>
      </c>
    </row>
    <row r="1617" spans="10:18">
      <c r="J1617" s="4">
        <v>503</v>
      </c>
      <c r="K1617" s="21" t="str">
        <f t="shared" si="54"/>
        <v>My Sizes</v>
      </c>
      <c r="L1617" s="20" t="s">
        <v>175</v>
      </c>
      <c r="M1617" s="4"/>
      <c r="N1617" s="2" t="s">
        <v>118</v>
      </c>
      <c r="O1617" s="2"/>
      <c r="P1617" s="4">
        <v>1</v>
      </c>
      <c r="Q1617" s="2" t="s">
        <v>1641</v>
      </c>
      <c r="R1617" s="11">
        <f>SUBTOTAL(3,_xlfn.SINGLE(tbl_file[RowId]))</f>
        <v>1</v>
      </c>
    </row>
    <row r="1618" spans="10:18">
      <c r="J1618" s="4">
        <v>504</v>
      </c>
      <c r="K1618" s="21" t="str">
        <f t="shared" si="54"/>
        <v>My Sizes</v>
      </c>
      <c r="L1618" s="20" t="s">
        <v>175</v>
      </c>
      <c r="M1618" s="4"/>
      <c r="N1618" s="2" t="s">
        <v>123</v>
      </c>
      <c r="O1618" s="2" t="s">
        <v>2635</v>
      </c>
      <c r="P1618" s="4">
        <v>1</v>
      </c>
      <c r="Q1618" s="2" t="s">
        <v>1564</v>
      </c>
      <c r="R1618" s="11">
        <f>SUBTOTAL(3,_xlfn.SINGLE(tbl_file[RowId]))</f>
        <v>1</v>
      </c>
    </row>
    <row r="1619" spans="10:18">
      <c r="J1619" s="4">
        <v>505</v>
      </c>
      <c r="K1619" s="21" t="str">
        <f t="shared" si="54"/>
        <v>My Sizes</v>
      </c>
      <c r="L1619" s="20" t="s">
        <v>175</v>
      </c>
      <c r="M1619" s="4"/>
      <c r="N1619" s="2" t="s">
        <v>127</v>
      </c>
      <c r="O1619" s="2"/>
      <c r="P1619" s="4">
        <v>1</v>
      </c>
      <c r="Q1619" s="2" t="s">
        <v>1956</v>
      </c>
      <c r="R1619" s="11">
        <f>SUBTOTAL(3,_xlfn.SINGLE(tbl_file[RowId]))</f>
        <v>1</v>
      </c>
    </row>
    <row r="1620" spans="10:18">
      <c r="J1620" s="4">
        <v>506</v>
      </c>
      <c r="K1620" s="21" t="str">
        <f t="shared" si="54"/>
        <v>My Sizes</v>
      </c>
      <c r="L1620" s="20" t="s">
        <v>175</v>
      </c>
      <c r="M1620" s="4"/>
      <c r="N1620" s="2" t="s">
        <v>2606</v>
      </c>
      <c r="O1620" s="2"/>
      <c r="P1620" s="4">
        <v>1</v>
      </c>
      <c r="Q1620" s="2" t="s">
        <v>2416</v>
      </c>
      <c r="R1620" s="11">
        <f>SUBTOTAL(3,_xlfn.SINGLE(tbl_file[RowId]))</f>
        <v>1</v>
      </c>
    </row>
    <row r="1621" spans="10:18">
      <c r="J1621" s="4">
        <v>507</v>
      </c>
      <c r="K1621" s="21" t="str">
        <f t="shared" si="54"/>
        <v>My Sizes</v>
      </c>
      <c r="L1621" s="20" t="s">
        <v>175</v>
      </c>
      <c r="M1621" s="4"/>
      <c r="N1621" s="2" t="s">
        <v>133</v>
      </c>
      <c r="O1621" s="2" t="s">
        <v>2637</v>
      </c>
      <c r="P1621" s="4">
        <v>1</v>
      </c>
      <c r="Q1621" s="2" t="s">
        <v>2113</v>
      </c>
      <c r="R1621" s="11">
        <f>SUBTOTAL(3,_xlfn.SINGLE(tbl_file[RowId]))</f>
        <v>1</v>
      </c>
    </row>
    <row r="1622" spans="10:18">
      <c r="J1622" s="4">
        <v>241</v>
      </c>
      <c r="K1622" s="21" t="str">
        <f t="shared" ref="K1622:K1627" si="55">HYPERLINK("obsidian://open?vault=o2&amp;file=My%20Theme%20Management.md","My Theme Management")</f>
        <v>My Theme Management</v>
      </c>
      <c r="L1622" s="20" t="s">
        <v>175</v>
      </c>
      <c r="M1622" s="4"/>
      <c r="N1622" s="2" t="s">
        <v>48</v>
      </c>
      <c r="O1622" s="2"/>
      <c r="P1622" s="4">
        <v>1</v>
      </c>
      <c r="Q1622" s="2" t="s">
        <v>2634</v>
      </c>
      <c r="R1622" s="11">
        <f>SUBTOTAL(3,_xlfn.SINGLE(tbl_file[RowId]))</f>
        <v>1</v>
      </c>
    </row>
    <row r="1623" spans="10:18">
      <c r="J1623" s="4">
        <v>242</v>
      </c>
      <c r="K1623" s="21" t="str">
        <f t="shared" si="55"/>
        <v>My Theme Management</v>
      </c>
      <c r="L1623" s="20" t="s">
        <v>175</v>
      </c>
      <c r="M1623" s="4"/>
      <c r="N1623" s="2" t="s">
        <v>118</v>
      </c>
      <c r="O1623" s="2"/>
      <c r="P1623" s="4">
        <v>1</v>
      </c>
      <c r="Q1623" s="2" t="s">
        <v>1641</v>
      </c>
      <c r="R1623" s="11">
        <f>SUBTOTAL(3,_xlfn.SINGLE(tbl_file[RowId]))</f>
        <v>1</v>
      </c>
    </row>
    <row r="1624" spans="10:18">
      <c r="J1624" s="4">
        <v>243</v>
      </c>
      <c r="K1624" s="21" t="str">
        <f t="shared" si="55"/>
        <v>My Theme Management</v>
      </c>
      <c r="L1624" s="20" t="s">
        <v>175</v>
      </c>
      <c r="M1624" s="4"/>
      <c r="N1624" s="2" t="s">
        <v>123</v>
      </c>
      <c r="O1624" s="2"/>
      <c r="P1624" s="4">
        <v>1</v>
      </c>
      <c r="Q1624" s="2" t="s">
        <v>1564</v>
      </c>
      <c r="R1624" s="11">
        <f>SUBTOTAL(3,_xlfn.SINGLE(tbl_file[RowId]))</f>
        <v>1</v>
      </c>
    </row>
    <row r="1625" spans="10:18">
      <c r="J1625" s="4">
        <v>244</v>
      </c>
      <c r="K1625" s="21" t="str">
        <f t="shared" si="55"/>
        <v>My Theme Management</v>
      </c>
      <c r="L1625" s="20" t="s">
        <v>175</v>
      </c>
      <c r="M1625" s="4"/>
      <c r="N1625" s="2" t="s">
        <v>127</v>
      </c>
      <c r="O1625" s="2"/>
      <c r="P1625" s="4">
        <v>1</v>
      </c>
      <c r="Q1625" s="2" t="s">
        <v>1956</v>
      </c>
      <c r="R1625" s="11">
        <f>SUBTOTAL(3,_xlfn.SINGLE(tbl_file[RowId]))</f>
        <v>1</v>
      </c>
    </row>
    <row r="1626" spans="10:18">
      <c r="J1626" s="4">
        <v>245</v>
      </c>
      <c r="K1626" s="21" t="str">
        <f t="shared" si="55"/>
        <v>My Theme Management</v>
      </c>
      <c r="L1626" s="20" t="s">
        <v>175</v>
      </c>
      <c r="M1626" s="4"/>
      <c r="N1626" s="2" t="s">
        <v>2606</v>
      </c>
      <c r="O1626" s="2"/>
      <c r="P1626" s="4">
        <v>1</v>
      </c>
      <c r="Q1626" s="2" t="s">
        <v>2416</v>
      </c>
      <c r="R1626" s="11">
        <f>SUBTOTAL(3,_xlfn.SINGLE(tbl_file[RowId]))</f>
        <v>1</v>
      </c>
    </row>
    <row r="1627" spans="10:18">
      <c r="J1627" s="4">
        <v>246</v>
      </c>
      <c r="K1627" s="21" t="str">
        <f t="shared" si="55"/>
        <v>My Theme Management</v>
      </c>
      <c r="L1627" s="20" t="s">
        <v>175</v>
      </c>
      <c r="M1627" s="4"/>
      <c r="N1627" s="2" t="s">
        <v>133</v>
      </c>
      <c r="O1627" s="2"/>
      <c r="P1627" s="4">
        <v>1</v>
      </c>
      <c r="Q1627" s="2" t="s">
        <v>2113</v>
      </c>
      <c r="R1627" s="11">
        <f>SUBTOTAL(3,_xlfn.SINGLE(tbl_file[RowId]))</f>
        <v>1</v>
      </c>
    </row>
    <row r="1628" spans="10:18">
      <c r="J1628" s="4">
        <v>2144</v>
      </c>
      <c r="K1628" s="21" t="str">
        <f>HYPERLINK("obsidian://open?vault=o2&amp;file=My%20Workflows.md","My Workflows")</f>
        <v>My Workflows</v>
      </c>
      <c r="L1628" s="20" t="s">
        <v>175</v>
      </c>
      <c r="M1628" s="4"/>
      <c r="N1628" s="2" t="s">
        <v>50</v>
      </c>
      <c r="O1628" s="2"/>
      <c r="P1628" s="4">
        <v>1</v>
      </c>
      <c r="Q1628" s="2" t="s">
        <v>1432</v>
      </c>
      <c r="R1628" s="11">
        <f>SUBTOTAL(3,_xlfn.SINGLE(tbl_file[RowId]))</f>
        <v>1</v>
      </c>
    </row>
    <row r="1629" spans="10:18">
      <c r="J1629" s="4">
        <v>1301</v>
      </c>
      <c r="K1629" s="21" t="str">
        <f>HYPERLINK("obsidian://open?vault=o2&amp;file=MyTunes.md","MyTunes")</f>
        <v>MyTunes</v>
      </c>
      <c r="L1629" s="20" t="s">
        <v>175</v>
      </c>
      <c r="M1629" s="4"/>
      <c r="N1629" s="2" t="s">
        <v>50</v>
      </c>
      <c r="O1629" s="2"/>
      <c r="P1629" s="4">
        <v>1</v>
      </c>
      <c r="Q1629" s="2" t="s">
        <v>1706</v>
      </c>
      <c r="R1629" s="11">
        <f>SUBTOTAL(3,_xlfn.SINGLE(tbl_file[RowId]))</f>
        <v>1</v>
      </c>
    </row>
    <row r="1630" spans="10:18">
      <c r="J1630" s="4">
        <v>1302</v>
      </c>
      <c r="K1630" s="21" t="str">
        <f>HYPERLINK("obsidian://open?vault=o2&amp;file=MyTunes.md","MyTunes")</f>
        <v>MyTunes</v>
      </c>
      <c r="L1630" s="20" t="s">
        <v>175</v>
      </c>
      <c r="M1630" s="4"/>
      <c r="N1630" s="2" t="s">
        <v>123</v>
      </c>
      <c r="O1630" s="2"/>
      <c r="P1630" s="4">
        <v>1</v>
      </c>
      <c r="Q1630" s="2" t="s">
        <v>1871</v>
      </c>
      <c r="R1630" s="11">
        <f>SUBTOTAL(3,_xlfn.SINGLE(tbl_file[RowId]))</f>
        <v>1</v>
      </c>
    </row>
    <row r="1631" spans="10:18">
      <c r="J1631" s="4">
        <v>2465</v>
      </c>
      <c r="K1631" s="21" t="str">
        <f t="shared" ref="K1631:K1637" si="56">HYPERLINK("obsidian://open?vault=o2&amp;file=Note%20Template.md","Note Template")</f>
        <v>Note Template</v>
      </c>
      <c r="L1631" s="20" t="s">
        <v>175</v>
      </c>
      <c r="M1631" s="4"/>
      <c r="N1631" s="2" t="s">
        <v>48</v>
      </c>
      <c r="O1631" s="2"/>
      <c r="P1631" s="4">
        <v>1</v>
      </c>
      <c r="Q1631" s="2"/>
      <c r="R1631" s="11">
        <f>SUBTOTAL(3,_xlfn.SINGLE(tbl_file[RowId]))</f>
        <v>1</v>
      </c>
    </row>
    <row r="1632" spans="10:18">
      <c r="J1632" s="4">
        <v>2466</v>
      </c>
      <c r="K1632" s="21" t="str">
        <f t="shared" si="56"/>
        <v>Note Template</v>
      </c>
      <c r="L1632" s="20" t="s">
        <v>175</v>
      </c>
      <c r="M1632" s="4"/>
      <c r="N1632" s="2" t="s">
        <v>50</v>
      </c>
      <c r="O1632" s="2"/>
      <c r="P1632" s="4">
        <v>1</v>
      </c>
      <c r="Q1632" s="2" t="s">
        <v>2634</v>
      </c>
      <c r="R1632" s="11">
        <f>SUBTOTAL(3,_xlfn.SINGLE(tbl_file[RowId]))</f>
        <v>1</v>
      </c>
    </row>
    <row r="1633" spans="10:18">
      <c r="J1633" s="4">
        <v>2467</v>
      </c>
      <c r="K1633" s="21" t="str">
        <f t="shared" si="56"/>
        <v>Note Template</v>
      </c>
      <c r="L1633" s="20" t="s">
        <v>175</v>
      </c>
      <c r="M1633" s="4"/>
      <c r="N1633" s="2" t="s">
        <v>118</v>
      </c>
      <c r="O1633" s="2"/>
      <c r="P1633" s="4">
        <v>1</v>
      </c>
      <c r="Q1633" s="2" t="s">
        <v>1641</v>
      </c>
      <c r="R1633" s="11">
        <f>SUBTOTAL(3,_xlfn.SINGLE(tbl_file[RowId]))</f>
        <v>1</v>
      </c>
    </row>
    <row r="1634" spans="10:18">
      <c r="J1634" s="4">
        <v>2468</v>
      </c>
      <c r="K1634" s="21" t="str">
        <f t="shared" si="56"/>
        <v>Note Template</v>
      </c>
      <c r="L1634" s="20" t="s">
        <v>175</v>
      </c>
      <c r="M1634" s="4"/>
      <c r="N1634" s="2" t="s">
        <v>123</v>
      </c>
      <c r="O1634" s="2" t="s">
        <v>2635</v>
      </c>
      <c r="P1634" s="4">
        <v>1</v>
      </c>
      <c r="Q1634" s="2" t="s">
        <v>1564</v>
      </c>
      <c r="R1634" s="11">
        <f>SUBTOTAL(3,_xlfn.SINGLE(tbl_file[RowId]))</f>
        <v>1</v>
      </c>
    </row>
    <row r="1635" spans="10:18">
      <c r="J1635" s="4">
        <v>2469</v>
      </c>
      <c r="K1635" s="21" t="str">
        <f t="shared" si="56"/>
        <v>Note Template</v>
      </c>
      <c r="L1635" s="20" t="s">
        <v>175</v>
      </c>
      <c r="M1635" s="4"/>
      <c r="N1635" s="2" t="s">
        <v>127</v>
      </c>
      <c r="O1635" s="2"/>
      <c r="P1635" s="4">
        <v>1</v>
      </c>
      <c r="Q1635" s="2" t="s">
        <v>1956</v>
      </c>
      <c r="R1635" s="11">
        <f>SUBTOTAL(3,_xlfn.SINGLE(tbl_file[RowId]))</f>
        <v>1</v>
      </c>
    </row>
    <row r="1636" spans="10:18">
      <c r="J1636" s="4">
        <v>2470</v>
      </c>
      <c r="K1636" s="21" t="str">
        <f t="shared" si="56"/>
        <v>Note Template</v>
      </c>
      <c r="L1636" s="20" t="s">
        <v>175</v>
      </c>
      <c r="M1636" s="4"/>
      <c r="N1636" s="2" t="s">
        <v>2606</v>
      </c>
      <c r="O1636" s="2"/>
      <c r="P1636" s="4">
        <v>1</v>
      </c>
      <c r="Q1636" s="2" t="s">
        <v>2416</v>
      </c>
      <c r="R1636" s="11">
        <f>SUBTOTAL(3,_xlfn.SINGLE(tbl_file[RowId]))</f>
        <v>1</v>
      </c>
    </row>
    <row r="1637" spans="10:18">
      <c r="J1637" s="4">
        <v>2471</v>
      </c>
      <c r="K1637" s="21" t="str">
        <f t="shared" si="56"/>
        <v>Note Template</v>
      </c>
      <c r="L1637" s="20" t="s">
        <v>175</v>
      </c>
      <c r="M1637" s="4"/>
      <c r="N1637" s="2" t="s">
        <v>133</v>
      </c>
      <c r="O1637" s="2" t="s">
        <v>2637</v>
      </c>
      <c r="P1637" s="4">
        <v>1</v>
      </c>
      <c r="Q1637" s="2" t="s">
        <v>2113</v>
      </c>
      <c r="R1637" s="11">
        <f>SUBTOTAL(3,_xlfn.SINGLE(tbl_file[RowId]))</f>
        <v>1</v>
      </c>
    </row>
    <row r="1638" spans="10:18">
      <c r="J1638" s="4">
        <v>195</v>
      </c>
      <c r="K1638" s="21" t="str">
        <f t="shared" ref="K1638:K1645" si="57">HYPERLINK("obsidian://open?vault=o2&amp;file=Notes%20on%20Python%20Class%20Objects.md","Notes on Python Class Objects")</f>
        <v>Notes on Python Class Objects</v>
      </c>
      <c r="L1638" s="20" t="s">
        <v>175</v>
      </c>
      <c r="M1638" s="4"/>
      <c r="N1638" s="2" t="s">
        <v>23</v>
      </c>
      <c r="O1638" s="2"/>
      <c r="P1638" s="4">
        <v>1</v>
      </c>
      <c r="Q1638" s="2" t="s">
        <v>426</v>
      </c>
      <c r="R1638" s="11">
        <f>SUBTOTAL(3,_xlfn.SINGLE(tbl_file[RowId]))</f>
        <v>1</v>
      </c>
    </row>
    <row r="1639" spans="10:18">
      <c r="J1639" s="4">
        <v>196</v>
      </c>
      <c r="K1639" s="21" t="str">
        <f t="shared" si="57"/>
        <v>Notes on Python Class Objects</v>
      </c>
      <c r="L1639" s="20" t="s">
        <v>175</v>
      </c>
      <c r="M1639" s="4"/>
      <c r="N1639" s="2" t="s">
        <v>48</v>
      </c>
      <c r="O1639" s="2"/>
      <c r="P1639" s="4">
        <v>1</v>
      </c>
      <c r="Q1639" s="2"/>
      <c r="R1639" s="11">
        <f>SUBTOTAL(3,_xlfn.SINGLE(tbl_file[RowId]))</f>
        <v>1</v>
      </c>
    </row>
    <row r="1640" spans="10:18">
      <c r="J1640" s="4">
        <v>197</v>
      </c>
      <c r="K1640" s="21" t="str">
        <f t="shared" si="57"/>
        <v>Notes on Python Class Objects</v>
      </c>
      <c r="L1640" s="20" t="s">
        <v>175</v>
      </c>
      <c r="M1640" s="4"/>
      <c r="N1640" s="2" t="s">
        <v>50</v>
      </c>
      <c r="O1640" s="2"/>
      <c r="P1640" s="4">
        <v>1</v>
      </c>
      <c r="Q1640" s="2" t="s">
        <v>2634</v>
      </c>
      <c r="R1640" s="11">
        <f>SUBTOTAL(3,_xlfn.SINGLE(tbl_file[RowId]))</f>
        <v>1</v>
      </c>
    </row>
    <row r="1641" spans="10:18">
      <c r="J1641" s="4">
        <v>198</v>
      </c>
      <c r="K1641" s="21" t="str">
        <f t="shared" si="57"/>
        <v>Notes on Python Class Objects</v>
      </c>
      <c r="L1641" s="20" t="s">
        <v>175</v>
      </c>
      <c r="M1641" s="4"/>
      <c r="N1641" s="2" t="s">
        <v>118</v>
      </c>
      <c r="O1641" s="2"/>
      <c r="P1641" s="4">
        <v>1</v>
      </c>
      <c r="Q1641" s="2" t="s">
        <v>1804</v>
      </c>
      <c r="R1641" s="11">
        <f>SUBTOTAL(3,_xlfn.SINGLE(tbl_file[RowId]))</f>
        <v>1</v>
      </c>
    </row>
    <row r="1642" spans="10:18">
      <c r="J1642" s="4">
        <v>199</v>
      </c>
      <c r="K1642" s="21" t="str">
        <f t="shared" si="57"/>
        <v>Notes on Python Class Objects</v>
      </c>
      <c r="L1642" s="20" t="s">
        <v>175</v>
      </c>
      <c r="M1642" s="4"/>
      <c r="N1642" s="2" t="s">
        <v>123</v>
      </c>
      <c r="O1642" s="2" t="s">
        <v>2635</v>
      </c>
      <c r="P1642" s="4">
        <v>1</v>
      </c>
      <c r="Q1642" s="2" t="s">
        <v>1813</v>
      </c>
      <c r="R1642" s="11">
        <f>SUBTOTAL(3,_xlfn.SINGLE(tbl_file[RowId]))</f>
        <v>1</v>
      </c>
    </row>
    <row r="1643" spans="10:18">
      <c r="J1643" s="4">
        <v>200</v>
      </c>
      <c r="K1643" s="21" t="str">
        <f t="shared" si="57"/>
        <v>Notes on Python Class Objects</v>
      </c>
      <c r="L1643" s="20" t="s">
        <v>175</v>
      </c>
      <c r="M1643" s="4"/>
      <c r="N1643" s="2" t="s">
        <v>127</v>
      </c>
      <c r="O1643" s="2"/>
      <c r="P1643" s="4">
        <v>1</v>
      </c>
      <c r="Q1643" s="2" t="s">
        <v>1956</v>
      </c>
      <c r="R1643" s="11">
        <f>SUBTOTAL(3,_xlfn.SINGLE(tbl_file[RowId]))</f>
        <v>1</v>
      </c>
    </row>
    <row r="1644" spans="10:18">
      <c r="J1644" s="4">
        <v>201</v>
      </c>
      <c r="K1644" s="21" t="str">
        <f t="shared" si="57"/>
        <v>Notes on Python Class Objects</v>
      </c>
      <c r="L1644" s="20" t="s">
        <v>175</v>
      </c>
      <c r="M1644" s="4"/>
      <c r="N1644" s="2" t="s">
        <v>2606</v>
      </c>
      <c r="O1644" s="2"/>
      <c r="P1644" s="4">
        <v>1</v>
      </c>
      <c r="Q1644" s="2" t="s">
        <v>2416</v>
      </c>
      <c r="R1644" s="11">
        <f>SUBTOTAL(3,_xlfn.SINGLE(tbl_file[RowId]))</f>
        <v>1</v>
      </c>
    </row>
    <row r="1645" spans="10:18">
      <c r="J1645" s="4">
        <v>202</v>
      </c>
      <c r="K1645" s="21" t="str">
        <f t="shared" si="57"/>
        <v>Notes on Python Class Objects</v>
      </c>
      <c r="L1645" s="20" t="s">
        <v>175</v>
      </c>
      <c r="M1645" s="4"/>
      <c r="N1645" s="2" t="s">
        <v>133</v>
      </c>
      <c r="O1645" s="2" t="s">
        <v>2637</v>
      </c>
      <c r="P1645" s="4">
        <v>1</v>
      </c>
      <c r="Q1645" s="2" t="s">
        <v>2113</v>
      </c>
      <c r="R1645" s="11">
        <f>SUBTOTAL(3,_xlfn.SINGLE(tbl_file[RowId]))</f>
        <v>1</v>
      </c>
    </row>
    <row r="1646" spans="10:18">
      <c r="J1646" s="4">
        <v>2145</v>
      </c>
      <c r="K1646" s="21" t="str">
        <f>HYPERLINK("obsidian://open?vault=o2&amp;file=Notes%20on%20qBitTorrent%20Seup.md","Notes on qBitTorrent Seup")</f>
        <v>Notes on qBitTorrent Seup</v>
      </c>
      <c r="L1646" s="20" t="s">
        <v>175</v>
      </c>
      <c r="M1646" s="4"/>
      <c r="N1646" s="2" t="s">
        <v>133</v>
      </c>
      <c r="O1646" s="2"/>
      <c r="P1646" s="4">
        <v>1</v>
      </c>
      <c r="Q1646" s="2" t="s">
        <v>2622</v>
      </c>
      <c r="R1646" s="11">
        <f>SUBTOTAL(3,_xlfn.SINGLE(tbl_file[RowId]))</f>
        <v>1</v>
      </c>
    </row>
    <row r="1647" spans="10:18">
      <c r="J1647" s="4">
        <v>2146</v>
      </c>
      <c r="K1647" s="21" t="str">
        <f>HYPERLINK("obsidian://open?vault=o2&amp;file=Objective%20Key%20Results%20%28OKR%29.md","Objective Key Results (OKR)")</f>
        <v>Objective Key Results (OKR)</v>
      </c>
      <c r="L1647" s="20" t="s">
        <v>175</v>
      </c>
      <c r="M1647" s="4"/>
      <c r="N1647" s="2" t="s">
        <v>50</v>
      </c>
      <c r="O1647" s="2"/>
      <c r="P1647" s="4">
        <v>1</v>
      </c>
      <c r="Q1647" s="2" t="s">
        <v>1502</v>
      </c>
      <c r="R1647" s="11">
        <f>SUBTOTAL(3,_xlfn.SINGLE(tbl_file[RowId]))</f>
        <v>1</v>
      </c>
    </row>
    <row r="1648" spans="10:18">
      <c r="J1648" s="4">
        <v>2147</v>
      </c>
      <c r="K1648" s="21" t="str">
        <f>HYPERLINK("obsidian://open?vault=o2&amp;file=Obsidian%20Callouts.md","Obsidian Callouts")</f>
        <v>Obsidian Callouts</v>
      </c>
      <c r="L1648" s="20" t="s">
        <v>175</v>
      </c>
      <c r="M1648" s="4"/>
      <c r="N1648" s="2" t="s">
        <v>50</v>
      </c>
      <c r="O1648" s="2"/>
      <c r="P1648" s="4">
        <v>1</v>
      </c>
      <c r="Q1648" s="2" t="s">
        <v>1498</v>
      </c>
      <c r="R1648" s="11">
        <f>SUBTOTAL(3,_xlfn.SINGLE(tbl_file[RowId]))</f>
        <v>1</v>
      </c>
    </row>
    <row r="1649" spans="10:18">
      <c r="J1649" s="4">
        <v>2148</v>
      </c>
      <c r="K1649" s="21" t="str">
        <f>HYPERLINK("obsidian://open?vault=o2&amp;file=Obsidian%20Callouts.md","Obsidian Callouts")</f>
        <v>Obsidian Callouts</v>
      </c>
      <c r="L1649" s="20" t="s">
        <v>175</v>
      </c>
      <c r="M1649" s="4"/>
      <c r="N1649" s="2" t="s">
        <v>2606</v>
      </c>
      <c r="O1649" s="2"/>
      <c r="P1649" s="4">
        <v>1</v>
      </c>
      <c r="Q1649" s="2" t="s">
        <v>2559</v>
      </c>
      <c r="R1649" s="11">
        <f>SUBTOTAL(3,_xlfn.SINGLE(tbl_file[RowId]))</f>
        <v>1</v>
      </c>
    </row>
    <row r="1650" spans="10:18">
      <c r="J1650" s="4">
        <v>1166</v>
      </c>
      <c r="K1650" s="21" t="str">
        <f>HYPERLINK("obsidian://open?vault=o2&amp;file=Obsidian%20Callouts%20for%20Theme%20Testing.md","Obsidian Callouts for Theme Testing")</f>
        <v>Obsidian Callouts for Theme Testing</v>
      </c>
      <c r="L1650" s="20" t="s">
        <v>175</v>
      </c>
      <c r="M1650" s="4"/>
      <c r="N1650" s="2" t="s">
        <v>133</v>
      </c>
      <c r="O1650" s="2"/>
      <c r="P1650" s="4">
        <v>1</v>
      </c>
      <c r="Q1650" s="2" t="s">
        <v>2693</v>
      </c>
      <c r="R1650" s="11">
        <f>SUBTOTAL(3,_xlfn.SINGLE(tbl_file[RowId]))</f>
        <v>1</v>
      </c>
    </row>
    <row r="1651" spans="10:18">
      <c r="J1651" s="4">
        <v>2149</v>
      </c>
      <c r="K1651" s="21" t="str">
        <f>HYPERLINK("obsidian://open?vault=o2&amp;file=Obsidian%20Canvas.md","Obsidian Canvas")</f>
        <v>Obsidian Canvas</v>
      </c>
      <c r="L1651" s="20" t="s">
        <v>175</v>
      </c>
      <c r="M1651" s="4"/>
      <c r="N1651" s="2" t="s">
        <v>50</v>
      </c>
      <c r="O1651" s="2"/>
      <c r="P1651" s="4">
        <v>1</v>
      </c>
      <c r="Q1651" s="2" t="s">
        <v>1524</v>
      </c>
      <c r="R1651" s="11">
        <f>SUBTOTAL(3,_xlfn.SINGLE(tbl_file[RowId]))</f>
        <v>1</v>
      </c>
    </row>
    <row r="1652" spans="10:18">
      <c r="J1652" s="4">
        <v>2150</v>
      </c>
      <c r="K1652" s="21" t="str">
        <f>HYPERLINK("obsidian://open?vault=o2&amp;file=Obsidian%20Community%20Plugins.md","Obsidian Community Plugins")</f>
        <v>Obsidian Community Plugins</v>
      </c>
      <c r="L1652" s="20" t="s">
        <v>175</v>
      </c>
      <c r="M1652" s="4"/>
      <c r="N1652" s="2" t="s">
        <v>50</v>
      </c>
      <c r="O1652" s="2"/>
      <c r="P1652" s="4">
        <v>1</v>
      </c>
      <c r="Q1652" s="2" t="s">
        <v>1524</v>
      </c>
      <c r="R1652" s="11">
        <f>SUBTOTAL(3,_xlfn.SINGLE(tbl_file[RowId]))</f>
        <v>1</v>
      </c>
    </row>
    <row r="1653" spans="10:18">
      <c r="J1653" s="4">
        <v>2151</v>
      </c>
      <c r="K1653" s="21" t="str">
        <f>HYPERLINK("obsidian://open?vault=o2&amp;file=Obsidian%20Community%20Plugins.md","Obsidian Community Plugins")</f>
        <v>Obsidian Community Plugins</v>
      </c>
      <c r="L1653" s="20" t="s">
        <v>175</v>
      </c>
      <c r="M1653" s="4"/>
      <c r="N1653" s="2" t="s">
        <v>127</v>
      </c>
      <c r="O1653" s="2"/>
      <c r="P1653" s="4">
        <v>1</v>
      </c>
      <c r="Q1653" s="2" t="s">
        <v>1958</v>
      </c>
      <c r="R1653" s="11">
        <f>SUBTOTAL(3,_xlfn.SINGLE(tbl_file[RowId]))</f>
        <v>1</v>
      </c>
    </row>
    <row r="1654" spans="10:18">
      <c r="J1654" s="4">
        <v>2152</v>
      </c>
      <c r="K1654" s="21" t="str">
        <f>HYPERLINK("obsidian://open?vault=o2&amp;file=Obsidian%20Community%20Plugins.md","Obsidian Community Plugins")</f>
        <v>Obsidian Community Plugins</v>
      </c>
      <c r="L1654" s="20" t="s">
        <v>175</v>
      </c>
      <c r="M1654" s="4"/>
      <c r="N1654" s="2" t="s">
        <v>129</v>
      </c>
      <c r="O1654" s="2"/>
      <c r="P1654" s="4">
        <v>1</v>
      </c>
      <c r="Q1654" s="2" t="s">
        <v>1430</v>
      </c>
      <c r="R1654" s="11">
        <f>SUBTOTAL(3,_xlfn.SINGLE(tbl_file[RowId]))</f>
        <v>1</v>
      </c>
    </row>
    <row r="1655" spans="10:18">
      <c r="J1655" s="4">
        <v>2153</v>
      </c>
      <c r="K1655" s="21" t="str">
        <f>HYPERLINK("obsidian://open?vault=o2&amp;file=Obsidian%20Community%20Plugins.md","Obsidian Community Plugins")</f>
        <v>Obsidian Community Plugins</v>
      </c>
      <c r="L1655" s="20" t="s">
        <v>175</v>
      </c>
      <c r="M1655" s="4"/>
      <c r="N1655" s="2" t="s">
        <v>2606</v>
      </c>
      <c r="O1655" s="2"/>
      <c r="P1655" s="4">
        <v>3</v>
      </c>
      <c r="Q1655" s="2" t="s">
        <v>3123</v>
      </c>
      <c r="R1655" s="11">
        <f>SUBTOTAL(3,_xlfn.SINGLE(tbl_file[RowId]))</f>
        <v>1</v>
      </c>
    </row>
    <row r="1656" spans="10:18">
      <c r="J1656" s="4">
        <v>1167</v>
      </c>
      <c r="K1656" s="21" t="str">
        <f>HYPERLINK("obsidian://open?vault=o2&amp;file=Obsidian%20Global%20Search%20and%20Replace.md","Obsidian Global Search and Replace")</f>
        <v>Obsidian Global Search and Replace</v>
      </c>
      <c r="L1656" s="20" t="s">
        <v>175</v>
      </c>
      <c r="M1656" s="4"/>
      <c r="N1656" s="2" t="s">
        <v>2606</v>
      </c>
      <c r="O1656" s="2"/>
      <c r="P1656" s="4">
        <v>1</v>
      </c>
      <c r="Q1656" s="2" t="s">
        <v>2582</v>
      </c>
      <c r="R1656" s="11">
        <f>SUBTOTAL(3,_xlfn.SINGLE(tbl_file[RowId]))</f>
        <v>1</v>
      </c>
    </row>
    <row r="1657" spans="10:18">
      <c r="J1657" s="4">
        <v>1168</v>
      </c>
      <c r="K1657" s="21" t="str">
        <f>HYPERLINK("obsidian://open?vault=o2&amp;file=Obsidian%20Global%20Search%20and%20Replace.md","Obsidian Global Search and Replace")</f>
        <v>Obsidian Global Search and Replace</v>
      </c>
      <c r="L1657" s="20" t="s">
        <v>175</v>
      </c>
      <c r="M1657" s="4"/>
      <c r="N1657" s="2" t="s">
        <v>133</v>
      </c>
      <c r="O1657" s="2"/>
      <c r="P1657" s="4">
        <v>1</v>
      </c>
      <c r="Q1657" s="2" t="s">
        <v>2693</v>
      </c>
      <c r="R1657" s="11">
        <f>SUBTOTAL(3,_xlfn.SINGLE(tbl_file[RowId]))</f>
        <v>1</v>
      </c>
    </row>
    <row r="1658" spans="10:18">
      <c r="J1658" s="4">
        <v>2154</v>
      </c>
      <c r="K1658" s="21" t="str">
        <f>HYPERLINK("obsidian://open?vault=o2&amp;file=Obsidian%20Hotkeys%20for%20Editing.md","Obsidian Hotkeys for Editing")</f>
        <v>Obsidian Hotkeys for Editing</v>
      </c>
      <c r="L1658" s="20" t="s">
        <v>175</v>
      </c>
      <c r="M1658" s="4"/>
      <c r="N1658" s="2" t="s">
        <v>27</v>
      </c>
      <c r="O1658" s="2"/>
      <c r="P1658" s="4">
        <v>1</v>
      </c>
      <c r="Q1658" s="2" t="s">
        <v>3124</v>
      </c>
      <c r="R1658" s="11">
        <f>SUBTOTAL(3,_xlfn.SINGLE(tbl_file[RowId]))</f>
        <v>1</v>
      </c>
    </row>
    <row r="1659" spans="10:18">
      <c r="J1659" s="4">
        <v>2155</v>
      </c>
      <c r="K1659" s="21" t="str">
        <f>HYPERLINK("obsidian://open?vault=o2&amp;file=Obsidian%20Hotkeys%20for%20Editing.md","Obsidian Hotkeys for Editing")</f>
        <v>Obsidian Hotkeys for Editing</v>
      </c>
      <c r="L1659" s="20" t="s">
        <v>175</v>
      </c>
      <c r="M1659" s="4"/>
      <c r="N1659" s="2" t="s">
        <v>50</v>
      </c>
      <c r="O1659" s="2"/>
      <c r="P1659" s="4">
        <v>1</v>
      </c>
      <c r="Q1659" s="2" t="s">
        <v>1488</v>
      </c>
      <c r="R1659" s="11">
        <f>SUBTOTAL(3,_xlfn.SINGLE(tbl_file[RowId]))</f>
        <v>1</v>
      </c>
    </row>
    <row r="1660" spans="10:18">
      <c r="J1660" s="4">
        <v>2156</v>
      </c>
      <c r="K1660" s="21" t="str">
        <f>HYPERLINK("obsidian://open?vault=o2&amp;file=Obsidian%20Hotkeys%20for%20Editing.md","Obsidian Hotkeys for Editing")</f>
        <v>Obsidian Hotkeys for Editing</v>
      </c>
      <c r="L1660" s="20" t="s">
        <v>175</v>
      </c>
      <c r="M1660" s="4"/>
      <c r="N1660" s="2" t="s">
        <v>127</v>
      </c>
      <c r="O1660" s="2"/>
      <c r="P1660" s="4">
        <v>1</v>
      </c>
      <c r="Q1660" s="2" t="s">
        <v>1952</v>
      </c>
      <c r="R1660" s="11">
        <f>SUBTOTAL(3,_xlfn.SINGLE(tbl_file[RowId]))</f>
        <v>1</v>
      </c>
    </row>
    <row r="1661" spans="10:18">
      <c r="J1661" s="4">
        <v>2157</v>
      </c>
      <c r="K1661" s="21" t="str">
        <f>HYPERLINK("obsidian://open?vault=o2&amp;file=Obsidian%20Hotkeys%20for%20Editing.md","Obsidian Hotkeys for Editing")</f>
        <v>Obsidian Hotkeys for Editing</v>
      </c>
      <c r="L1661" s="20" t="s">
        <v>175</v>
      </c>
      <c r="M1661" s="4"/>
      <c r="N1661" s="2" t="s">
        <v>2606</v>
      </c>
      <c r="O1661" s="2"/>
      <c r="P1661" s="4">
        <v>4</v>
      </c>
      <c r="Q1661" s="2" t="s">
        <v>3125</v>
      </c>
      <c r="R1661" s="11">
        <f>SUBTOTAL(3,_xlfn.SINGLE(tbl_file[RowId]))</f>
        <v>1</v>
      </c>
    </row>
    <row r="1662" spans="10:18">
      <c r="J1662" s="4">
        <v>1120</v>
      </c>
      <c r="K1662" s="21" t="str">
        <f>HYPERLINK("obsidian://open?vault=o2&amp;file=Obsidian%20Interface%20Menu%20-%20Cheat%20Sheet.md","Obsidian Interface Menu - Cheat Sheet")</f>
        <v>Obsidian Interface Menu - Cheat Sheet</v>
      </c>
      <c r="L1662" s="20" t="s">
        <v>175</v>
      </c>
      <c r="M1662" s="4"/>
      <c r="N1662" s="2" t="s">
        <v>29</v>
      </c>
      <c r="O1662" s="2"/>
      <c r="P1662" s="4">
        <v>1</v>
      </c>
      <c r="Q1662" s="2" t="s">
        <v>2988</v>
      </c>
      <c r="R1662" s="11">
        <f>SUBTOTAL(3,_xlfn.SINGLE(tbl_file[RowId]))</f>
        <v>1</v>
      </c>
    </row>
    <row r="1663" spans="10:18">
      <c r="J1663" s="4">
        <v>1121</v>
      </c>
      <c r="K1663" s="21" t="str">
        <f>HYPERLINK("obsidian://open?vault=o2&amp;file=Obsidian%20Interface%20Menu%20-%20Cheat%20Sheet.md","Obsidian Interface Menu - Cheat Sheet")</f>
        <v>Obsidian Interface Menu - Cheat Sheet</v>
      </c>
      <c r="L1663" s="20" t="s">
        <v>175</v>
      </c>
      <c r="M1663" s="4"/>
      <c r="N1663" s="2" t="s">
        <v>118</v>
      </c>
      <c r="O1663" s="2"/>
      <c r="P1663" s="4">
        <v>1</v>
      </c>
      <c r="Q1663" s="2" t="s">
        <v>1641</v>
      </c>
      <c r="R1663" s="11">
        <f>SUBTOTAL(3,_xlfn.SINGLE(tbl_file[RowId]))</f>
        <v>1</v>
      </c>
    </row>
    <row r="1664" spans="10:18">
      <c r="J1664" s="4">
        <v>1122</v>
      </c>
      <c r="K1664" s="21" t="str">
        <f>HYPERLINK("obsidian://open?vault=o2&amp;file=Obsidian%20Interface%20Menu%20-%20Cheat%20Sheet.md","Obsidian Interface Menu - Cheat Sheet")</f>
        <v>Obsidian Interface Menu - Cheat Sheet</v>
      </c>
      <c r="L1664" s="20" t="s">
        <v>175</v>
      </c>
      <c r="M1664" s="4"/>
      <c r="N1664" s="2" t="s">
        <v>125</v>
      </c>
      <c r="O1664" s="2"/>
      <c r="P1664" s="4">
        <v>1</v>
      </c>
      <c r="Q1664" s="2" t="s">
        <v>1891</v>
      </c>
      <c r="R1664" s="11">
        <f>SUBTOTAL(3,_xlfn.SINGLE(tbl_file[RowId]))</f>
        <v>1</v>
      </c>
    </row>
    <row r="1665" spans="10:18">
      <c r="J1665" s="4">
        <v>1123</v>
      </c>
      <c r="K1665" s="21" t="str">
        <f>HYPERLINK("obsidian://open?vault=o2&amp;file=Obsidian%20Interface%20Menu%20-%20Cheat%20Sheet.md","Obsidian Interface Menu - Cheat Sheet")</f>
        <v>Obsidian Interface Menu - Cheat Sheet</v>
      </c>
      <c r="L1665" s="20" t="s">
        <v>175</v>
      </c>
      <c r="M1665" s="4"/>
      <c r="N1665" s="2" t="s">
        <v>129</v>
      </c>
      <c r="O1665" s="2"/>
      <c r="P1665" s="4">
        <v>1</v>
      </c>
      <c r="Q1665" s="2" t="s">
        <v>1974</v>
      </c>
      <c r="R1665" s="11">
        <f>SUBTOTAL(3,_xlfn.SINGLE(tbl_file[RowId]))</f>
        <v>1</v>
      </c>
    </row>
    <row r="1666" spans="10:18">
      <c r="J1666" s="4">
        <v>1124</v>
      </c>
      <c r="K1666" s="21" t="str">
        <f>HYPERLINK("obsidian://open?vault=o2&amp;file=Obsidian%20Interface%20Menu%20-%20Cheat%20Sheet.md","Obsidian Interface Menu - Cheat Sheet")</f>
        <v>Obsidian Interface Menu - Cheat Sheet</v>
      </c>
      <c r="L1666" s="20" t="s">
        <v>175</v>
      </c>
      <c r="M1666" s="4"/>
      <c r="N1666" s="2" t="s">
        <v>2606</v>
      </c>
      <c r="O1666" s="2"/>
      <c r="P1666" s="4">
        <v>1</v>
      </c>
      <c r="Q1666" s="2" t="s">
        <v>2420</v>
      </c>
      <c r="R1666" s="11">
        <f>SUBTOTAL(3,_xlfn.SINGLE(tbl_file[RowId]))</f>
        <v>1</v>
      </c>
    </row>
    <row r="1667" spans="10:18">
      <c r="J1667" s="4">
        <v>2158</v>
      </c>
      <c r="K1667" s="21" t="str">
        <f>HYPERLINK("obsidian://open?vault=o2&amp;file=Obsidian%20Layout.md","Obsidian Layout")</f>
        <v>Obsidian Layout</v>
      </c>
      <c r="L1667" s="20" t="s">
        <v>175</v>
      </c>
      <c r="M1667" s="4"/>
      <c r="N1667" s="2" t="s">
        <v>50</v>
      </c>
      <c r="O1667" s="2"/>
      <c r="P1667" s="4">
        <v>1</v>
      </c>
      <c r="Q1667" s="2" t="s">
        <v>1524</v>
      </c>
      <c r="R1667" s="11">
        <f>SUBTOTAL(3,_xlfn.SINGLE(tbl_file[RowId]))</f>
        <v>1</v>
      </c>
    </row>
    <row r="1668" spans="10:18">
      <c r="J1668" s="4">
        <v>2159</v>
      </c>
      <c r="K1668" s="21" t="str">
        <f>HYPERLINK("obsidian://open?vault=o2&amp;file=Obsidian%20Strange%20New%20Worlds%20Plugin.md","Obsidian Strange New Worlds Plugin")</f>
        <v>Obsidian Strange New Worlds Plugin</v>
      </c>
      <c r="L1668" s="20" t="s">
        <v>175</v>
      </c>
      <c r="M1668" s="4"/>
      <c r="N1668" s="2" t="s">
        <v>50</v>
      </c>
      <c r="O1668" s="2"/>
      <c r="P1668" s="4">
        <v>1</v>
      </c>
      <c r="Q1668" s="2" t="s">
        <v>1498</v>
      </c>
      <c r="R1668" s="11">
        <f>SUBTOTAL(3,_xlfn.SINGLE(tbl_file[RowId]))</f>
        <v>1</v>
      </c>
    </row>
    <row r="1669" spans="10:18">
      <c r="J1669" s="4">
        <v>2160</v>
      </c>
      <c r="K1669" s="21" t="str">
        <f>HYPERLINK("obsidian://open?vault=o2&amp;file=Obsidian%20Templater%20Plugin.md","Obsidian Templater Plugin")</f>
        <v>Obsidian Templater Plugin</v>
      </c>
      <c r="L1669" s="20" t="s">
        <v>175</v>
      </c>
      <c r="M1669" s="4"/>
      <c r="N1669" s="2" t="s">
        <v>50</v>
      </c>
      <c r="O1669" s="2"/>
      <c r="P1669" s="4">
        <v>1</v>
      </c>
      <c r="Q1669" s="2" t="s">
        <v>1498</v>
      </c>
      <c r="R1669" s="11">
        <f>SUBTOTAL(3,_xlfn.SINGLE(tbl_file[RowId]))</f>
        <v>1</v>
      </c>
    </row>
    <row r="1670" spans="10:18">
      <c r="J1670" s="4">
        <v>2161</v>
      </c>
      <c r="K1670" s="21" t="str">
        <f>HYPERLINK("obsidian://open?vault=o2&amp;file=Obsidian%20Tips.md","Obsidian Tips")</f>
        <v>Obsidian Tips</v>
      </c>
      <c r="L1670" s="20" t="s">
        <v>175</v>
      </c>
      <c r="M1670" s="4"/>
      <c r="N1670" s="2" t="s">
        <v>50</v>
      </c>
      <c r="O1670" s="2"/>
      <c r="P1670" s="4">
        <v>1</v>
      </c>
      <c r="Q1670" s="2" t="s">
        <v>1524</v>
      </c>
      <c r="R1670" s="11">
        <f>SUBTOTAL(3,_xlfn.SINGLE(tbl_file[RowId]))</f>
        <v>1</v>
      </c>
    </row>
    <row r="1671" spans="10:18">
      <c r="J1671" s="4">
        <v>2162</v>
      </c>
      <c r="K1671" s="21" t="str">
        <f>HYPERLINK("obsidian://open?vault=o2&amp;file=Obsidian%20Tracker%20Plugin.md","Obsidian Tracker Plugin")</f>
        <v>Obsidian Tracker Plugin</v>
      </c>
      <c r="L1671" s="20" t="s">
        <v>175</v>
      </c>
      <c r="M1671" s="4"/>
      <c r="N1671" s="2" t="s">
        <v>50</v>
      </c>
      <c r="O1671" s="2"/>
      <c r="P1671" s="4">
        <v>1</v>
      </c>
      <c r="Q1671" s="2" t="s">
        <v>1498</v>
      </c>
      <c r="R1671" s="11">
        <f>SUBTOTAL(3,_xlfn.SINGLE(tbl_file[RowId]))</f>
        <v>1</v>
      </c>
    </row>
    <row r="1672" spans="10:18">
      <c r="J1672" s="4">
        <v>2163</v>
      </c>
      <c r="K1672" s="21" t="str">
        <f>HYPERLINK("obsidian://open?vault=o2&amp;file=Obsidian%20Tracker%20Plugin.md","Obsidian Tracker Plugin")</f>
        <v>Obsidian Tracker Plugin</v>
      </c>
      <c r="L1672" s="20" t="s">
        <v>175</v>
      </c>
      <c r="M1672" s="4"/>
      <c r="N1672" s="2" t="s">
        <v>127</v>
      </c>
      <c r="O1672" s="2"/>
      <c r="P1672" s="4">
        <v>1</v>
      </c>
      <c r="Q1672" s="2" t="s">
        <v>1960</v>
      </c>
      <c r="R1672" s="11">
        <f>SUBTOTAL(3,_xlfn.SINGLE(tbl_file[RowId]))</f>
        <v>1</v>
      </c>
    </row>
    <row r="1673" spans="10:18">
      <c r="J1673" s="4">
        <v>2164</v>
      </c>
      <c r="K1673" s="21" t="str">
        <f>HYPERLINK("obsidian://open?vault=o2&amp;file=Obsidian%20Tracker%20Plugin.md","Obsidian Tracker Plugin")</f>
        <v>Obsidian Tracker Plugin</v>
      </c>
      <c r="L1673" s="20" t="s">
        <v>175</v>
      </c>
      <c r="M1673" s="4"/>
      <c r="N1673" s="2" t="s">
        <v>129</v>
      </c>
      <c r="O1673" s="2"/>
      <c r="P1673" s="4">
        <v>1</v>
      </c>
      <c r="Q1673" s="2" t="s">
        <v>1430</v>
      </c>
      <c r="R1673" s="11">
        <f>SUBTOTAL(3,_xlfn.SINGLE(tbl_file[RowId]))</f>
        <v>1</v>
      </c>
    </row>
    <row r="1674" spans="10:18">
      <c r="J1674" s="4">
        <v>2165</v>
      </c>
      <c r="K1674" s="21" t="str">
        <f>HYPERLINK("obsidian://open?vault=o2&amp;file=Obsidian%20Tracker%20Plugin.md","Obsidian Tracker Plugin")</f>
        <v>Obsidian Tracker Plugin</v>
      </c>
      <c r="L1674" s="20" t="s">
        <v>175</v>
      </c>
      <c r="M1674" s="4"/>
      <c r="N1674" s="2" t="s">
        <v>2606</v>
      </c>
      <c r="O1674" s="2"/>
      <c r="P1674" s="4">
        <v>2</v>
      </c>
      <c r="Q1674" s="2" t="s">
        <v>3126</v>
      </c>
      <c r="R1674" s="11">
        <f>SUBTOTAL(3,_xlfn.SINGLE(tbl_file[RowId]))</f>
        <v>1</v>
      </c>
    </row>
    <row r="1675" spans="10:18">
      <c r="J1675" s="4">
        <v>2166</v>
      </c>
      <c r="K1675" s="21" t="str">
        <f>HYPERLINK("obsidian://open?vault=o2&amp;file=Obsidian%20Tracker%20Plugin.md","Obsidian Tracker Plugin")</f>
        <v>Obsidian Tracker Plugin</v>
      </c>
      <c r="L1675" s="20" t="s">
        <v>175</v>
      </c>
      <c r="M1675" s="4" t="s">
        <v>2626</v>
      </c>
      <c r="N1675" s="2" t="s">
        <v>2606</v>
      </c>
      <c r="O1675" s="2"/>
      <c r="P1675" s="4">
        <v>1</v>
      </c>
      <c r="Q1675" s="2" t="s">
        <v>2291</v>
      </c>
      <c r="R1675" s="11">
        <f>SUBTOTAL(3,_xlfn.SINGLE(tbl_file[RowId]))</f>
        <v>1</v>
      </c>
    </row>
    <row r="1676" spans="10:18">
      <c r="J1676" s="4">
        <v>1221</v>
      </c>
      <c r="K1676" s="21" t="str">
        <f t="shared" ref="K1676:K1682" si="58">HYPERLINK("obsidian://open?vault=o2&amp;file=Obsidian%20Vault%20Healthcheck%20v.1.md","Obsidian Vault Healthcheck v.1")</f>
        <v>Obsidian Vault Healthcheck v.1</v>
      </c>
      <c r="L1676" s="20" t="s">
        <v>175</v>
      </c>
      <c r="M1676" s="4"/>
      <c r="N1676" s="2" t="s">
        <v>48</v>
      </c>
      <c r="O1676" s="2"/>
      <c r="P1676" s="4">
        <v>1</v>
      </c>
      <c r="Q1676" s="2"/>
      <c r="R1676" s="11">
        <f>SUBTOTAL(3,_xlfn.SINGLE(tbl_file[RowId]))</f>
        <v>1</v>
      </c>
    </row>
    <row r="1677" spans="10:18">
      <c r="J1677" s="4">
        <v>1222</v>
      </c>
      <c r="K1677" s="21" t="str">
        <f t="shared" si="58"/>
        <v>Obsidian Vault Healthcheck v.1</v>
      </c>
      <c r="L1677" s="20" t="s">
        <v>175</v>
      </c>
      <c r="M1677" s="4"/>
      <c r="N1677" s="2" t="s">
        <v>50</v>
      </c>
      <c r="O1677" s="2"/>
      <c r="P1677" s="4">
        <v>1</v>
      </c>
      <c r="Q1677" s="2" t="s">
        <v>2634</v>
      </c>
      <c r="R1677" s="11">
        <f>SUBTOTAL(3,_xlfn.SINGLE(tbl_file[RowId]))</f>
        <v>1</v>
      </c>
    </row>
    <row r="1678" spans="10:18">
      <c r="J1678" s="4">
        <v>1223</v>
      </c>
      <c r="K1678" s="21" t="str">
        <f t="shared" si="58"/>
        <v>Obsidian Vault Healthcheck v.1</v>
      </c>
      <c r="L1678" s="20" t="s">
        <v>175</v>
      </c>
      <c r="M1678" s="4"/>
      <c r="N1678" s="2" t="s">
        <v>118</v>
      </c>
      <c r="O1678" s="2"/>
      <c r="P1678" s="4">
        <v>1</v>
      </c>
      <c r="Q1678" s="2" t="s">
        <v>1641</v>
      </c>
      <c r="R1678" s="11">
        <f>SUBTOTAL(3,_xlfn.SINGLE(tbl_file[RowId]))</f>
        <v>1</v>
      </c>
    </row>
    <row r="1679" spans="10:18">
      <c r="J1679" s="4">
        <v>1224</v>
      </c>
      <c r="K1679" s="21" t="str">
        <f t="shared" si="58"/>
        <v>Obsidian Vault Healthcheck v.1</v>
      </c>
      <c r="L1679" s="20" t="s">
        <v>175</v>
      </c>
      <c r="M1679" s="4"/>
      <c r="N1679" s="2" t="s">
        <v>123</v>
      </c>
      <c r="O1679" s="2" t="s">
        <v>2635</v>
      </c>
      <c r="P1679" s="4">
        <v>1</v>
      </c>
      <c r="Q1679" s="2" t="s">
        <v>1564</v>
      </c>
      <c r="R1679" s="11">
        <f>SUBTOTAL(3,_xlfn.SINGLE(tbl_file[RowId]))</f>
        <v>1</v>
      </c>
    </row>
    <row r="1680" spans="10:18">
      <c r="J1680" s="4">
        <v>1225</v>
      </c>
      <c r="K1680" s="21" t="str">
        <f t="shared" si="58"/>
        <v>Obsidian Vault Healthcheck v.1</v>
      </c>
      <c r="L1680" s="20" t="s">
        <v>175</v>
      </c>
      <c r="M1680" s="4"/>
      <c r="N1680" s="2" t="s">
        <v>127</v>
      </c>
      <c r="O1680" s="2"/>
      <c r="P1680" s="4">
        <v>1</v>
      </c>
      <c r="Q1680" s="2" t="s">
        <v>1956</v>
      </c>
      <c r="R1680" s="11">
        <f>SUBTOTAL(3,_xlfn.SINGLE(tbl_file[RowId]))</f>
        <v>1</v>
      </c>
    </row>
    <row r="1681" spans="10:18">
      <c r="J1681" s="4">
        <v>1226</v>
      </c>
      <c r="K1681" s="21" t="str">
        <f t="shared" si="58"/>
        <v>Obsidian Vault Healthcheck v.1</v>
      </c>
      <c r="L1681" s="20" t="s">
        <v>175</v>
      </c>
      <c r="M1681" s="4"/>
      <c r="N1681" s="2" t="s">
        <v>2606</v>
      </c>
      <c r="O1681" s="2"/>
      <c r="P1681" s="4">
        <v>1</v>
      </c>
      <c r="Q1681" s="2" t="s">
        <v>2416</v>
      </c>
      <c r="R1681" s="11">
        <f>SUBTOTAL(3,_xlfn.SINGLE(tbl_file[RowId]))</f>
        <v>1</v>
      </c>
    </row>
    <row r="1682" spans="10:18">
      <c r="J1682" s="4">
        <v>1227</v>
      </c>
      <c r="K1682" s="21" t="str">
        <f t="shared" si="58"/>
        <v>Obsidian Vault Healthcheck v.1</v>
      </c>
      <c r="L1682" s="20" t="s">
        <v>175</v>
      </c>
      <c r="M1682" s="4"/>
      <c r="N1682" s="2" t="s">
        <v>133</v>
      </c>
      <c r="O1682" s="2" t="s">
        <v>2637</v>
      </c>
      <c r="P1682" s="4">
        <v>1</v>
      </c>
      <c r="Q1682" s="2" t="s">
        <v>2113</v>
      </c>
      <c r="R1682" s="11">
        <f>SUBTOTAL(3,_xlfn.SINGLE(tbl_file[RowId]))</f>
        <v>1</v>
      </c>
    </row>
    <row r="1683" spans="10:18">
      <c r="J1683" s="4">
        <v>2167</v>
      </c>
      <c r="K1683" s="21" t="str">
        <f>HYPERLINK("obsidian://open?vault=o2&amp;file=Obsidian%20Workspaces.md","Obsidian Workspaces")</f>
        <v>Obsidian Workspaces</v>
      </c>
      <c r="L1683" s="20" t="s">
        <v>175</v>
      </c>
      <c r="M1683" s="4"/>
      <c r="N1683" s="2" t="s">
        <v>50</v>
      </c>
      <c r="O1683" s="2"/>
      <c r="P1683" s="4">
        <v>1</v>
      </c>
      <c r="Q1683" s="2" t="s">
        <v>1524</v>
      </c>
      <c r="R1683" s="11">
        <f>SUBTOTAL(3,_xlfn.SINGLE(tbl_file[RowId]))</f>
        <v>1</v>
      </c>
    </row>
    <row r="1684" spans="10:18">
      <c r="J1684" s="4">
        <v>1231</v>
      </c>
      <c r="K1684" s="21" t="str">
        <f>HYPERLINK("obsidian://open?vault=o2&amp;file=obsidian-scraper.md","obsidian-scraper")</f>
        <v>obsidian-scraper</v>
      </c>
      <c r="L1684" s="20" t="s">
        <v>175</v>
      </c>
      <c r="M1684" s="4"/>
      <c r="N1684" s="2" t="s">
        <v>13</v>
      </c>
      <c r="O1684" s="2"/>
      <c r="P1684" s="4">
        <v>1</v>
      </c>
      <c r="Q1684" s="2" t="s">
        <v>330</v>
      </c>
      <c r="R1684" s="11">
        <f>SUBTOTAL(3,_xlfn.SINGLE(tbl_file[RowId]))</f>
        <v>1</v>
      </c>
    </row>
    <row r="1685" spans="10:18">
      <c r="J1685" s="4">
        <v>1232</v>
      </c>
      <c r="K1685" s="21" t="str">
        <f>HYPERLINK("obsidian://open?vault=o2&amp;file=obsidian-scraper.md","obsidian-scraper")</f>
        <v>obsidian-scraper</v>
      </c>
      <c r="L1685" s="20" t="s">
        <v>175</v>
      </c>
      <c r="M1685" s="4"/>
      <c r="N1685" s="2" t="s">
        <v>121</v>
      </c>
      <c r="O1685" s="2"/>
      <c r="P1685" s="4">
        <v>1</v>
      </c>
      <c r="Q1685" s="2" t="s">
        <v>1842</v>
      </c>
      <c r="R1685" s="11">
        <f>SUBTOTAL(3,_xlfn.SINGLE(tbl_file[RowId]))</f>
        <v>1</v>
      </c>
    </row>
    <row r="1686" spans="10:18">
      <c r="J1686" s="4">
        <v>1233</v>
      </c>
      <c r="K1686" s="21" t="str">
        <f>HYPERLINK("obsidian://open?vault=o2&amp;file=obsidian-scraper.md","obsidian-scraper")</f>
        <v>obsidian-scraper</v>
      </c>
      <c r="L1686" s="20" t="s">
        <v>175</v>
      </c>
      <c r="M1686" s="4" t="s">
        <v>2626</v>
      </c>
      <c r="N1686" s="2" t="s">
        <v>2606</v>
      </c>
      <c r="O1686" s="2"/>
      <c r="P1686" s="4">
        <v>3</v>
      </c>
      <c r="Q1686" s="2" t="s">
        <v>3006</v>
      </c>
      <c r="R1686" s="11">
        <f>SUBTOTAL(3,_xlfn.SINGLE(tbl_file[RowId]))</f>
        <v>1</v>
      </c>
    </row>
    <row r="1687" spans="10:18">
      <c r="J1687" s="4">
        <v>2423</v>
      </c>
      <c r="K1687" s="21" t="str">
        <f>HYPERLINK("obsidian://open?vault=o2&amp;file=obsidian-scraper%20Workflow-Use%20Quickadd.md","obsidian-scraper Workflow-Use Quickadd")</f>
        <v>obsidian-scraper Workflow-Use Quickadd</v>
      </c>
      <c r="L1687" s="20" t="s">
        <v>175</v>
      </c>
      <c r="M1687" s="4"/>
      <c r="N1687" s="2" t="s">
        <v>127</v>
      </c>
      <c r="O1687" s="2"/>
      <c r="P1687" s="4">
        <v>1</v>
      </c>
      <c r="Q1687" s="2" t="s">
        <v>1944</v>
      </c>
      <c r="R1687" s="11">
        <f>SUBTOTAL(3,_xlfn.SINGLE(tbl_file[RowId]))</f>
        <v>1</v>
      </c>
    </row>
    <row r="1688" spans="10:18">
      <c r="J1688" s="4">
        <v>2168</v>
      </c>
      <c r="K1688" s="21" t="str">
        <f>HYPERLINK("obsidian://open?vault=o2&amp;file=OneNote%20List%20of%20Notebooks.md","OneNote List of Notebooks")</f>
        <v>OneNote List of Notebooks</v>
      </c>
      <c r="L1688" s="20" t="s">
        <v>175</v>
      </c>
      <c r="M1688" s="4"/>
      <c r="N1688" s="2" t="s">
        <v>50</v>
      </c>
      <c r="O1688" s="2"/>
      <c r="P1688" s="4">
        <v>1</v>
      </c>
      <c r="Q1688" s="2" t="s">
        <v>1536</v>
      </c>
      <c r="R1688" s="11">
        <f>SUBTOTAL(3,_xlfn.SINGLE(tbl_file[RowId]))</f>
        <v>1</v>
      </c>
    </row>
    <row r="1689" spans="10:18">
      <c r="J1689" s="4">
        <v>2169</v>
      </c>
      <c r="K1689" s="21" t="str">
        <f>HYPERLINK("obsidian://open?vault=o2&amp;file=OneNote%20List%20of%20Notebooks.md","OneNote List of Notebooks")</f>
        <v>OneNote List of Notebooks</v>
      </c>
      <c r="L1689" s="20" t="s">
        <v>175</v>
      </c>
      <c r="M1689" s="4"/>
      <c r="N1689" s="2" t="s">
        <v>127</v>
      </c>
      <c r="O1689" s="2"/>
      <c r="P1689" s="4">
        <v>1</v>
      </c>
      <c r="Q1689" s="2" t="s">
        <v>1968</v>
      </c>
      <c r="R1689" s="11">
        <f>SUBTOTAL(3,_xlfn.SINGLE(tbl_file[RowId]))</f>
        <v>1</v>
      </c>
    </row>
    <row r="1690" spans="10:18">
      <c r="J1690" s="4">
        <v>2170</v>
      </c>
      <c r="K1690" s="21" t="str">
        <f>HYPERLINK("obsidian://open?vault=o2&amp;file=OneNote%20List%20of%20Notebooks.md","OneNote List of Notebooks")</f>
        <v>OneNote List of Notebooks</v>
      </c>
      <c r="L1690" s="20" t="s">
        <v>175</v>
      </c>
      <c r="M1690" s="4"/>
      <c r="N1690" s="2" t="s">
        <v>2606</v>
      </c>
      <c r="O1690" s="2"/>
      <c r="P1690" s="4">
        <v>2</v>
      </c>
      <c r="Q1690" s="2" t="s">
        <v>3127</v>
      </c>
      <c r="R1690" s="11">
        <f>SUBTOTAL(3,_xlfn.SINGLE(tbl_file[RowId]))</f>
        <v>1</v>
      </c>
    </row>
    <row r="1691" spans="10:18">
      <c r="J1691" s="4">
        <v>1072</v>
      </c>
      <c r="K1691" s="21" t="str">
        <f>HYPERLINK("obsidian://open?vault=o2&amp;file=Online%20Referral%20Request.md","Online Referral Request")</f>
        <v>Online Referral Request</v>
      </c>
      <c r="L1691" s="20" t="s">
        <v>175</v>
      </c>
      <c r="M1691" s="4"/>
      <c r="N1691" s="2" t="s">
        <v>19</v>
      </c>
      <c r="O1691" s="2"/>
      <c r="P1691" s="4">
        <v>1</v>
      </c>
      <c r="Q1691" s="2" t="s">
        <v>404</v>
      </c>
      <c r="R1691" s="11">
        <f>SUBTOTAL(3,_xlfn.SINGLE(tbl_file[RowId]))</f>
        <v>1</v>
      </c>
    </row>
    <row r="1692" spans="10:18">
      <c r="J1692" s="4">
        <v>1073</v>
      </c>
      <c r="K1692" s="21" t="str">
        <f>HYPERLINK("obsidian://open?vault=o2&amp;file=Online%20Referral%20Request.md","Online Referral Request")</f>
        <v>Online Referral Request</v>
      </c>
      <c r="L1692" s="20" t="s">
        <v>175</v>
      </c>
      <c r="M1692" s="4"/>
      <c r="N1692" s="2" t="s">
        <v>125</v>
      </c>
      <c r="O1692" s="2"/>
      <c r="P1692" s="4">
        <v>1</v>
      </c>
      <c r="Q1692" s="2" t="s">
        <v>1897</v>
      </c>
      <c r="R1692" s="11">
        <f>SUBTOTAL(3,_xlfn.SINGLE(tbl_file[RowId]))</f>
        <v>1</v>
      </c>
    </row>
    <row r="1693" spans="10:18">
      <c r="J1693" s="4">
        <v>1074</v>
      </c>
      <c r="K1693" s="21" t="str">
        <f>HYPERLINK("obsidian://open?vault=o2&amp;file=Online%20Referral%20Request.md","Online Referral Request")</f>
        <v>Online Referral Request</v>
      </c>
      <c r="L1693" s="20" t="s">
        <v>175</v>
      </c>
      <c r="M1693" s="4"/>
      <c r="N1693" s="2" t="s">
        <v>2606</v>
      </c>
      <c r="O1693" s="2"/>
      <c r="P1693" s="4">
        <v>1</v>
      </c>
      <c r="Q1693" s="2" t="s">
        <v>2537</v>
      </c>
      <c r="R1693" s="11">
        <f>SUBTOTAL(3,_xlfn.SINGLE(tbl_file[RowId]))</f>
        <v>1</v>
      </c>
    </row>
    <row r="1694" spans="10:18">
      <c r="J1694" s="4">
        <v>2171</v>
      </c>
      <c r="K1694" s="21" t="str">
        <f>HYPERLINK("obsidian://open?vault=o2&amp;file=Open%20Task%20Review.md","Open Task Review")</f>
        <v>Open Task Review</v>
      </c>
      <c r="L1694" s="20" t="s">
        <v>175</v>
      </c>
      <c r="M1694" s="4"/>
      <c r="N1694" s="2" t="s">
        <v>35</v>
      </c>
      <c r="O1694" s="2"/>
      <c r="P1694" s="4">
        <v>1</v>
      </c>
      <c r="Q1694" s="2" t="s">
        <v>503</v>
      </c>
      <c r="R1694" s="11">
        <f>SUBTOTAL(3,_xlfn.SINGLE(tbl_file[RowId]))</f>
        <v>1</v>
      </c>
    </row>
    <row r="1695" spans="10:18">
      <c r="J1695" s="4">
        <v>2172</v>
      </c>
      <c r="K1695" s="21" t="str">
        <f>HYPERLINK("obsidian://open?vault=o2&amp;file=Open%20Task%20Review.md","Open Task Review")</f>
        <v>Open Task Review</v>
      </c>
      <c r="L1695" s="20" t="s">
        <v>175</v>
      </c>
      <c r="M1695" s="4"/>
      <c r="N1695" s="2" t="s">
        <v>2606</v>
      </c>
      <c r="O1695" s="2"/>
      <c r="P1695" s="4">
        <v>1</v>
      </c>
      <c r="Q1695" s="2" t="s">
        <v>2317</v>
      </c>
      <c r="R1695" s="11">
        <f>SUBTOTAL(3,_xlfn.SINGLE(tbl_file[RowId]))</f>
        <v>1</v>
      </c>
    </row>
    <row r="1696" spans="10:18">
      <c r="J1696" s="4">
        <v>2173</v>
      </c>
      <c r="K1696" s="21" t="str">
        <f>HYPERLINK("obsidian://open?vault=o2&amp;file=Open%20Task%20Review.md","Open Task Review")</f>
        <v>Open Task Review</v>
      </c>
      <c r="L1696" s="20" t="s">
        <v>175</v>
      </c>
      <c r="M1696" s="4"/>
      <c r="N1696" s="2" t="s">
        <v>133</v>
      </c>
      <c r="O1696" s="2"/>
      <c r="P1696" s="4">
        <v>1</v>
      </c>
      <c r="Q1696" s="2" t="s">
        <v>2109</v>
      </c>
      <c r="R1696" s="11">
        <f>SUBTOTAL(3,_xlfn.SINGLE(tbl_file[RowId]))</f>
        <v>1</v>
      </c>
    </row>
    <row r="1697" spans="10:18">
      <c r="J1697" s="4">
        <v>2174</v>
      </c>
      <c r="K1697" s="21" t="str">
        <f>HYPERLINK("obsidian://open?vault=o2&amp;file=Organizing%20our%20notes.md","Organizing our notes")</f>
        <v>Organizing our notes</v>
      </c>
      <c r="L1697" s="20" t="s">
        <v>175</v>
      </c>
      <c r="M1697" s="4"/>
      <c r="N1697" s="2" t="s">
        <v>50</v>
      </c>
      <c r="O1697" s="2"/>
      <c r="P1697" s="4">
        <v>1</v>
      </c>
      <c r="Q1697" s="2" t="s">
        <v>1444</v>
      </c>
      <c r="R1697" s="11">
        <f>SUBTOTAL(3,_xlfn.SINGLE(tbl_file[RowId]))</f>
        <v>1</v>
      </c>
    </row>
    <row r="1698" spans="10:18">
      <c r="J1698" s="4">
        <v>918</v>
      </c>
      <c r="K1698" s="21" t="str">
        <f t="shared" ref="K1698:K1704" si="59">HYPERLINK("obsidian://open?vault=o2&amp;file=Oxenreider-Musser-Organized%20Simplicity.md","Oxenreider-Musser-Organized Simplicity")</f>
        <v>Oxenreider-Musser-Organized Simplicity</v>
      </c>
      <c r="L1698" s="20" t="s">
        <v>175</v>
      </c>
      <c r="M1698" s="4"/>
      <c r="N1698" s="2" t="s">
        <v>2917</v>
      </c>
      <c r="O1698" s="2"/>
      <c r="P1698" s="4">
        <v>1</v>
      </c>
      <c r="Q1698" s="2" t="s">
        <v>2955</v>
      </c>
      <c r="R1698" s="11">
        <f>SUBTOTAL(3,_xlfn.SINGLE(tbl_file[RowId]))</f>
        <v>1</v>
      </c>
    </row>
    <row r="1699" spans="10:18">
      <c r="J1699" s="4">
        <v>919</v>
      </c>
      <c r="K1699" s="21" t="str">
        <f t="shared" si="59"/>
        <v>Oxenreider-Musser-Organized Simplicity</v>
      </c>
      <c r="L1699" s="20" t="s">
        <v>175</v>
      </c>
      <c r="M1699" s="4"/>
      <c r="N1699" s="2" t="s">
        <v>2919</v>
      </c>
      <c r="O1699" s="2"/>
      <c r="P1699" s="4">
        <v>1</v>
      </c>
      <c r="Q1699" s="2" t="s">
        <v>2956</v>
      </c>
      <c r="R1699" s="11">
        <f>SUBTOTAL(3,_xlfn.SINGLE(tbl_file[RowId]))</f>
        <v>1</v>
      </c>
    </row>
    <row r="1700" spans="10:18">
      <c r="J1700" s="4">
        <v>920</v>
      </c>
      <c r="K1700" s="21" t="str">
        <f t="shared" si="59"/>
        <v>Oxenreider-Musser-Organized Simplicity</v>
      </c>
      <c r="L1700" s="20" t="s">
        <v>175</v>
      </c>
      <c r="M1700" s="4"/>
      <c r="N1700" s="2" t="s">
        <v>2921</v>
      </c>
      <c r="O1700" s="2" t="s">
        <v>2922</v>
      </c>
      <c r="P1700" s="4">
        <v>1</v>
      </c>
      <c r="Q1700" s="2" t="s">
        <v>2957</v>
      </c>
      <c r="R1700" s="11">
        <f>SUBTOTAL(3,_xlfn.SINGLE(tbl_file[RowId]))</f>
        <v>1</v>
      </c>
    </row>
    <row r="1701" spans="10:18">
      <c r="J1701" s="4">
        <v>921</v>
      </c>
      <c r="K1701" s="21" t="str">
        <f t="shared" si="59"/>
        <v>Oxenreider-Musser-Organized Simplicity</v>
      </c>
      <c r="L1701" s="20" t="s">
        <v>175</v>
      </c>
      <c r="M1701" s="4"/>
      <c r="N1701" s="2" t="s">
        <v>2924</v>
      </c>
      <c r="O1701" s="2" t="s">
        <v>2925</v>
      </c>
      <c r="P1701" s="4">
        <v>1</v>
      </c>
      <c r="Q1701" s="2" t="s">
        <v>2958</v>
      </c>
      <c r="R1701" s="11">
        <f>SUBTOTAL(3,_xlfn.SINGLE(tbl_file[RowId]))</f>
        <v>1</v>
      </c>
    </row>
    <row r="1702" spans="10:18">
      <c r="J1702" s="4">
        <v>922</v>
      </c>
      <c r="K1702" s="21" t="str">
        <f t="shared" si="59"/>
        <v>Oxenreider-Musser-Organized Simplicity</v>
      </c>
      <c r="L1702" s="20" t="s">
        <v>175</v>
      </c>
      <c r="M1702" s="4"/>
      <c r="N1702" s="2" t="s">
        <v>2927</v>
      </c>
      <c r="O1702" s="2" t="s">
        <v>2928</v>
      </c>
      <c r="P1702" s="4">
        <v>1</v>
      </c>
      <c r="Q1702" s="2" t="s">
        <v>2959</v>
      </c>
      <c r="R1702" s="11">
        <f>SUBTOTAL(3,_xlfn.SINGLE(tbl_file[RowId]))</f>
        <v>1</v>
      </c>
    </row>
    <row r="1703" spans="10:18">
      <c r="J1703" s="4">
        <v>923</v>
      </c>
      <c r="K1703" s="21" t="str">
        <f t="shared" si="59"/>
        <v>Oxenreider-Musser-Organized Simplicity</v>
      </c>
      <c r="L1703" s="20" t="s">
        <v>175</v>
      </c>
      <c r="M1703" s="4"/>
      <c r="N1703" s="2" t="s">
        <v>2930</v>
      </c>
      <c r="O1703" s="2" t="s">
        <v>2931</v>
      </c>
      <c r="P1703" s="4">
        <v>1</v>
      </c>
      <c r="Q1703" s="2" t="s">
        <v>2960</v>
      </c>
      <c r="R1703" s="11">
        <f>SUBTOTAL(3,_xlfn.SINGLE(tbl_file[RowId]))</f>
        <v>1</v>
      </c>
    </row>
    <row r="1704" spans="10:18">
      <c r="J1704" s="4">
        <v>924</v>
      </c>
      <c r="K1704" s="21" t="str">
        <f t="shared" si="59"/>
        <v>Oxenreider-Musser-Organized Simplicity</v>
      </c>
      <c r="L1704" s="20" t="s">
        <v>175</v>
      </c>
      <c r="M1704" s="4"/>
      <c r="N1704" s="2" t="s">
        <v>2933</v>
      </c>
      <c r="O1704" s="2"/>
      <c r="P1704" s="4">
        <v>1</v>
      </c>
      <c r="Q1704" s="2" t="s">
        <v>2961</v>
      </c>
      <c r="R1704" s="11">
        <f>SUBTOTAL(3,_xlfn.SINGLE(tbl_file[RowId]))</f>
        <v>1</v>
      </c>
    </row>
    <row r="1705" spans="10:18">
      <c r="J1705" s="4">
        <v>2177</v>
      </c>
      <c r="K1705" s="21" t="str">
        <f>HYPERLINK("obsidian://open?vault=o2&amp;file=PARA%20Method.md","PARA Method")</f>
        <v>PARA Method</v>
      </c>
      <c r="L1705" s="20" t="s">
        <v>175</v>
      </c>
      <c r="M1705" s="4"/>
      <c r="N1705" s="2" t="s">
        <v>50</v>
      </c>
      <c r="O1705" s="2"/>
      <c r="P1705" s="4">
        <v>1</v>
      </c>
      <c r="Q1705" s="2" t="s">
        <v>1436</v>
      </c>
      <c r="R1705" s="11">
        <f>SUBTOTAL(3,_xlfn.SINGLE(tbl_file[RowId]))</f>
        <v>1</v>
      </c>
    </row>
    <row r="1706" spans="10:18">
      <c r="J1706" s="4">
        <v>2175</v>
      </c>
      <c r="K1706" s="21" t="str">
        <f>HYPERLINK("obsidian://open?vault=o2&amp;file=PARA%20Method%20in%20Obsidian%20MD.md","PARA Method in Obsidian MD")</f>
        <v>PARA Method in Obsidian MD</v>
      </c>
      <c r="L1706" s="20" t="s">
        <v>175</v>
      </c>
      <c r="M1706" s="4"/>
      <c r="N1706" s="2" t="s">
        <v>50</v>
      </c>
      <c r="O1706" s="2"/>
      <c r="P1706" s="4">
        <v>2</v>
      </c>
      <c r="Q1706" s="2" t="s">
        <v>3128</v>
      </c>
      <c r="R1706" s="11">
        <f>SUBTOTAL(3,_xlfn.SINGLE(tbl_file[RowId]))</f>
        <v>1</v>
      </c>
    </row>
    <row r="1707" spans="10:18">
      <c r="J1707" s="4">
        <v>2176</v>
      </c>
      <c r="K1707" s="21" t="str">
        <f>HYPERLINK("obsidian://open?vault=o2&amp;file=PARA%20Method%20in%20Obsidian%20MD.md","PARA Method in Obsidian MD")</f>
        <v>PARA Method in Obsidian MD</v>
      </c>
      <c r="L1707" s="20" t="s">
        <v>175</v>
      </c>
      <c r="M1707" s="4"/>
      <c r="N1707" s="2" t="s">
        <v>129</v>
      </c>
      <c r="O1707" s="2"/>
      <c r="P1707" s="4">
        <v>1</v>
      </c>
      <c r="Q1707" s="2" t="s">
        <v>1430</v>
      </c>
      <c r="R1707" s="11">
        <f>SUBTOTAL(3,_xlfn.SINGLE(tbl_file[RowId]))</f>
        <v>1</v>
      </c>
    </row>
    <row r="1708" spans="10:18">
      <c r="J1708" s="4">
        <v>1132</v>
      </c>
      <c r="K1708" s="21" t="str">
        <f t="shared" ref="K1708:K1714" si="60">HYPERLINK("obsidian://open?vault=o2&amp;file=Paul%20D%20Directory%20Template.md","Paul D Directory Template")</f>
        <v>Paul D Directory Template</v>
      </c>
      <c r="L1708" s="20" t="s">
        <v>175</v>
      </c>
      <c r="M1708" s="4"/>
      <c r="N1708" s="2" t="s">
        <v>21</v>
      </c>
      <c r="O1708" s="2"/>
      <c r="P1708" s="4">
        <v>1</v>
      </c>
      <c r="Q1708" s="2" t="s">
        <v>422</v>
      </c>
      <c r="R1708" s="11">
        <f>SUBTOTAL(3,_xlfn.SINGLE(tbl_file[RowId]))</f>
        <v>1</v>
      </c>
    </row>
    <row r="1709" spans="10:18">
      <c r="J1709" s="4">
        <v>1133</v>
      </c>
      <c r="K1709" s="21" t="str">
        <f t="shared" si="60"/>
        <v>Paul D Directory Template</v>
      </c>
      <c r="L1709" s="20" t="s">
        <v>175</v>
      </c>
      <c r="M1709" s="4"/>
      <c r="N1709" s="2" t="s">
        <v>118</v>
      </c>
      <c r="O1709" s="2"/>
      <c r="P1709" s="4">
        <v>1</v>
      </c>
      <c r="Q1709" s="2" t="s">
        <v>1641</v>
      </c>
      <c r="R1709" s="11">
        <f>SUBTOTAL(3,_xlfn.SINGLE(tbl_file[RowId]))</f>
        <v>1</v>
      </c>
    </row>
    <row r="1710" spans="10:18">
      <c r="J1710" s="4">
        <v>1134</v>
      </c>
      <c r="K1710" s="21" t="str">
        <f t="shared" si="60"/>
        <v>Paul D Directory Template</v>
      </c>
      <c r="L1710" s="20" t="s">
        <v>175</v>
      </c>
      <c r="M1710" s="4"/>
      <c r="N1710" s="2" t="s">
        <v>123</v>
      </c>
      <c r="O1710" s="2"/>
      <c r="P1710" s="4">
        <v>1</v>
      </c>
      <c r="Q1710" s="2" t="s">
        <v>1564</v>
      </c>
      <c r="R1710" s="11">
        <f>SUBTOTAL(3,_xlfn.SINGLE(tbl_file[RowId]))</f>
        <v>1</v>
      </c>
    </row>
    <row r="1711" spans="10:18">
      <c r="J1711" s="4">
        <v>1135</v>
      </c>
      <c r="K1711" s="21" t="str">
        <f t="shared" si="60"/>
        <v>Paul D Directory Template</v>
      </c>
      <c r="L1711" s="20" t="s">
        <v>175</v>
      </c>
      <c r="M1711" s="4"/>
      <c r="N1711" s="2" t="s">
        <v>124</v>
      </c>
      <c r="O1711" s="2"/>
      <c r="P1711" s="4">
        <v>1</v>
      </c>
      <c r="Q1711" s="2" t="s">
        <v>1879</v>
      </c>
      <c r="R1711" s="11">
        <f>SUBTOTAL(3,_xlfn.SINGLE(tbl_file[RowId]))</f>
        <v>1</v>
      </c>
    </row>
    <row r="1712" spans="10:18">
      <c r="J1712" s="4">
        <v>1136</v>
      </c>
      <c r="K1712" s="21" t="str">
        <f t="shared" si="60"/>
        <v>Paul D Directory Template</v>
      </c>
      <c r="L1712" s="20" t="s">
        <v>175</v>
      </c>
      <c r="M1712" s="4"/>
      <c r="N1712" s="2" t="s">
        <v>127</v>
      </c>
      <c r="O1712" s="2"/>
      <c r="P1712" s="4">
        <v>1</v>
      </c>
      <c r="Q1712" s="2" t="s">
        <v>1964</v>
      </c>
      <c r="R1712" s="11">
        <f>SUBTOTAL(3,_xlfn.SINGLE(tbl_file[RowId]))</f>
        <v>1</v>
      </c>
    </row>
    <row r="1713" spans="10:18">
      <c r="J1713" s="4">
        <v>1137</v>
      </c>
      <c r="K1713" s="21" t="str">
        <f t="shared" si="60"/>
        <v>Paul D Directory Template</v>
      </c>
      <c r="L1713" s="20" t="s">
        <v>175</v>
      </c>
      <c r="M1713" s="4"/>
      <c r="N1713" s="2" t="s">
        <v>129</v>
      </c>
      <c r="O1713" s="2"/>
      <c r="P1713" s="4">
        <v>1</v>
      </c>
      <c r="Q1713" s="2" t="s">
        <v>1974</v>
      </c>
      <c r="R1713" s="11">
        <f>SUBTOTAL(3,_xlfn.SINGLE(tbl_file[RowId]))</f>
        <v>1</v>
      </c>
    </row>
    <row r="1714" spans="10:18">
      <c r="J1714" s="4">
        <v>1138</v>
      </c>
      <c r="K1714" s="21" t="str">
        <f t="shared" si="60"/>
        <v>Paul D Directory Template</v>
      </c>
      <c r="L1714" s="20" t="s">
        <v>175</v>
      </c>
      <c r="M1714" s="4"/>
      <c r="N1714" s="2" t="s">
        <v>2606</v>
      </c>
      <c r="O1714" s="2"/>
      <c r="P1714" s="4">
        <v>3</v>
      </c>
      <c r="Q1714" s="2" t="s">
        <v>2989</v>
      </c>
      <c r="R1714" s="11">
        <f>SUBTOTAL(3,_xlfn.SINGLE(tbl_file[RowId]))</f>
        <v>1</v>
      </c>
    </row>
    <row r="1715" spans="10:18">
      <c r="J1715" s="4">
        <v>1125</v>
      </c>
      <c r="K1715" s="21" t="str">
        <f t="shared" ref="K1715:K1721" si="61">HYPERLINK("obsidian://open?vault=o2&amp;file=Paul%20D%20Directory%20Template%20Test.md","Paul D Directory Template Test")</f>
        <v>Paul D Directory Template Test</v>
      </c>
      <c r="L1715" s="20" t="s">
        <v>175</v>
      </c>
      <c r="M1715" s="4"/>
      <c r="N1715" s="2" t="s">
        <v>21</v>
      </c>
      <c r="O1715" s="2"/>
      <c r="P1715" s="4">
        <v>1</v>
      </c>
      <c r="Q1715" s="2" t="s">
        <v>422</v>
      </c>
      <c r="R1715" s="11">
        <f>SUBTOTAL(3,_xlfn.SINGLE(tbl_file[RowId]))</f>
        <v>1</v>
      </c>
    </row>
    <row r="1716" spans="10:18">
      <c r="J1716" s="4">
        <v>1126</v>
      </c>
      <c r="K1716" s="21" t="str">
        <f t="shared" si="61"/>
        <v>Paul D Directory Template Test</v>
      </c>
      <c r="L1716" s="20" t="s">
        <v>175</v>
      </c>
      <c r="M1716" s="4"/>
      <c r="N1716" s="2" t="s">
        <v>118</v>
      </c>
      <c r="O1716" s="2"/>
      <c r="P1716" s="4">
        <v>1</v>
      </c>
      <c r="Q1716" s="2" t="s">
        <v>1641</v>
      </c>
      <c r="R1716" s="11">
        <f>SUBTOTAL(3,_xlfn.SINGLE(tbl_file[RowId]))</f>
        <v>1</v>
      </c>
    </row>
    <row r="1717" spans="10:18">
      <c r="J1717" s="4">
        <v>1127</v>
      </c>
      <c r="K1717" s="21" t="str">
        <f t="shared" si="61"/>
        <v>Paul D Directory Template Test</v>
      </c>
      <c r="L1717" s="20" t="s">
        <v>175</v>
      </c>
      <c r="M1717" s="4"/>
      <c r="N1717" s="2" t="s">
        <v>123</v>
      </c>
      <c r="O1717" s="2"/>
      <c r="P1717" s="4">
        <v>1</v>
      </c>
      <c r="Q1717" s="2" t="s">
        <v>1564</v>
      </c>
      <c r="R1717" s="11">
        <f>SUBTOTAL(3,_xlfn.SINGLE(tbl_file[RowId]))</f>
        <v>1</v>
      </c>
    </row>
    <row r="1718" spans="10:18">
      <c r="J1718" s="4">
        <v>1128</v>
      </c>
      <c r="K1718" s="21" t="str">
        <f t="shared" si="61"/>
        <v>Paul D Directory Template Test</v>
      </c>
      <c r="L1718" s="20" t="s">
        <v>175</v>
      </c>
      <c r="M1718" s="4"/>
      <c r="N1718" s="2" t="s">
        <v>124</v>
      </c>
      <c r="O1718" s="2"/>
      <c r="P1718" s="4">
        <v>1</v>
      </c>
      <c r="Q1718" s="2" t="s">
        <v>1877</v>
      </c>
      <c r="R1718" s="11">
        <f>SUBTOTAL(3,_xlfn.SINGLE(tbl_file[RowId]))</f>
        <v>1</v>
      </c>
    </row>
    <row r="1719" spans="10:18">
      <c r="J1719" s="4">
        <v>1129</v>
      </c>
      <c r="K1719" s="21" t="str">
        <f t="shared" si="61"/>
        <v>Paul D Directory Template Test</v>
      </c>
      <c r="L1719" s="20" t="s">
        <v>175</v>
      </c>
      <c r="M1719" s="4"/>
      <c r="N1719" s="2" t="s">
        <v>127</v>
      </c>
      <c r="O1719" s="2"/>
      <c r="P1719" s="4">
        <v>1</v>
      </c>
      <c r="Q1719" s="2" t="s">
        <v>1964</v>
      </c>
      <c r="R1719" s="11">
        <f>SUBTOTAL(3,_xlfn.SINGLE(tbl_file[RowId]))</f>
        <v>1</v>
      </c>
    </row>
    <row r="1720" spans="10:18">
      <c r="J1720" s="4">
        <v>1130</v>
      </c>
      <c r="K1720" s="21" t="str">
        <f t="shared" si="61"/>
        <v>Paul D Directory Template Test</v>
      </c>
      <c r="L1720" s="20" t="s">
        <v>175</v>
      </c>
      <c r="M1720" s="4"/>
      <c r="N1720" s="2" t="s">
        <v>129</v>
      </c>
      <c r="O1720" s="2"/>
      <c r="P1720" s="4">
        <v>1</v>
      </c>
      <c r="Q1720" s="2" t="s">
        <v>1974</v>
      </c>
      <c r="R1720" s="11">
        <f>SUBTOTAL(3,_xlfn.SINGLE(tbl_file[RowId]))</f>
        <v>1</v>
      </c>
    </row>
    <row r="1721" spans="10:18">
      <c r="J1721" s="4">
        <v>1131</v>
      </c>
      <c r="K1721" s="21" t="str">
        <f t="shared" si="61"/>
        <v>Paul D Directory Template Test</v>
      </c>
      <c r="L1721" s="20" t="s">
        <v>175</v>
      </c>
      <c r="M1721" s="4"/>
      <c r="N1721" s="2" t="s">
        <v>2606</v>
      </c>
      <c r="O1721" s="2"/>
      <c r="P1721" s="4">
        <v>3</v>
      </c>
      <c r="Q1721" s="2" t="s">
        <v>2989</v>
      </c>
      <c r="R1721" s="11">
        <f>SUBTOTAL(3,_xlfn.SINGLE(tbl_file[RowId]))</f>
        <v>1</v>
      </c>
    </row>
    <row r="1722" spans="10:18">
      <c r="J1722" s="4">
        <v>333</v>
      </c>
      <c r="K1722" s="21" t="str">
        <f t="shared" ref="K1722:K1728" si="62">HYPERLINK("obsidian://open?vault=o2&amp;file=PC%20Re-Build%20Step%20Sequence%20Script.md","PC Re-Build Step Sequence Script")</f>
        <v>PC Re-Build Step Sequence Script</v>
      </c>
      <c r="L1722" s="20" t="s">
        <v>175</v>
      </c>
      <c r="M1722" s="4"/>
      <c r="N1722" s="2" t="s">
        <v>12</v>
      </c>
      <c r="O1722" s="2"/>
      <c r="P1722" s="4">
        <v>1</v>
      </c>
      <c r="Q1722" s="2" t="s">
        <v>272</v>
      </c>
      <c r="R1722" s="11">
        <f>SUBTOTAL(3,_xlfn.SINGLE(tbl_file[RowId]))</f>
        <v>1</v>
      </c>
    </row>
    <row r="1723" spans="10:18">
      <c r="J1723" s="4">
        <v>334</v>
      </c>
      <c r="K1723" s="21" t="str">
        <f t="shared" si="62"/>
        <v>PC Re-Build Step Sequence Script</v>
      </c>
      <c r="L1723" s="20" t="s">
        <v>175</v>
      </c>
      <c r="M1723" s="4"/>
      <c r="N1723" s="2" t="s">
        <v>17</v>
      </c>
      <c r="O1723" s="2"/>
      <c r="P1723" s="4">
        <v>1</v>
      </c>
      <c r="Q1723" s="2" t="s">
        <v>2667</v>
      </c>
      <c r="R1723" s="11">
        <f>SUBTOTAL(3,_xlfn.SINGLE(tbl_file[RowId]))</f>
        <v>1</v>
      </c>
    </row>
    <row r="1724" spans="10:18">
      <c r="J1724" s="4">
        <v>335</v>
      </c>
      <c r="K1724" s="21" t="str">
        <f t="shared" si="62"/>
        <v>PC Re-Build Step Sequence Script</v>
      </c>
      <c r="L1724" s="20" t="s">
        <v>175</v>
      </c>
      <c r="M1724" s="4"/>
      <c r="N1724" s="2" t="s">
        <v>50</v>
      </c>
      <c r="O1724" s="2"/>
      <c r="P1724" s="4">
        <v>1</v>
      </c>
      <c r="Q1724" s="2" t="s">
        <v>1540</v>
      </c>
      <c r="R1724" s="11">
        <f>SUBTOTAL(3,_xlfn.SINGLE(tbl_file[RowId]))</f>
        <v>1</v>
      </c>
    </row>
    <row r="1725" spans="10:18">
      <c r="J1725" s="4">
        <v>336</v>
      </c>
      <c r="K1725" s="21" t="str">
        <f t="shared" si="62"/>
        <v>PC Re-Build Step Sequence Script</v>
      </c>
      <c r="L1725" s="20" t="s">
        <v>175</v>
      </c>
      <c r="M1725" s="4"/>
      <c r="N1725" s="2" t="s">
        <v>127</v>
      </c>
      <c r="O1725" s="2"/>
      <c r="P1725" s="4">
        <v>1</v>
      </c>
      <c r="Q1725" s="2" t="s">
        <v>1958</v>
      </c>
      <c r="R1725" s="11">
        <f>SUBTOTAL(3,_xlfn.SINGLE(tbl_file[RowId]))</f>
        <v>1</v>
      </c>
    </row>
    <row r="1726" spans="10:18">
      <c r="J1726" s="4">
        <v>337</v>
      </c>
      <c r="K1726" s="21" t="str">
        <f t="shared" si="62"/>
        <v>PC Re-Build Step Sequence Script</v>
      </c>
      <c r="L1726" s="20" t="s">
        <v>175</v>
      </c>
      <c r="M1726" s="4"/>
      <c r="N1726" s="2" t="s">
        <v>2606</v>
      </c>
      <c r="O1726" s="2"/>
      <c r="P1726" s="4">
        <v>4</v>
      </c>
      <c r="Q1726" s="2" t="s">
        <v>2668</v>
      </c>
      <c r="R1726" s="11">
        <f>SUBTOTAL(3,_xlfn.SINGLE(tbl_file[RowId]))</f>
        <v>1</v>
      </c>
    </row>
    <row r="1727" spans="10:18">
      <c r="J1727" s="4">
        <v>338</v>
      </c>
      <c r="K1727" s="21" t="str">
        <f t="shared" si="62"/>
        <v>PC Re-Build Step Sequence Script</v>
      </c>
      <c r="L1727" s="20" t="s">
        <v>175</v>
      </c>
      <c r="M1727" s="4"/>
      <c r="N1727" s="2" t="s">
        <v>133</v>
      </c>
      <c r="O1727" s="2"/>
      <c r="P1727" s="4">
        <v>1</v>
      </c>
      <c r="Q1727" s="2" t="s">
        <v>2614</v>
      </c>
      <c r="R1727" s="11">
        <f>SUBTOTAL(3,_xlfn.SINGLE(tbl_file[RowId]))</f>
        <v>1</v>
      </c>
    </row>
    <row r="1728" spans="10:18">
      <c r="J1728" s="4">
        <v>339</v>
      </c>
      <c r="K1728" s="21" t="str">
        <f t="shared" si="62"/>
        <v>PC Re-Build Step Sequence Script</v>
      </c>
      <c r="L1728" s="20" t="s">
        <v>175</v>
      </c>
      <c r="M1728" s="4" t="s">
        <v>2626</v>
      </c>
      <c r="N1728" s="2" t="s">
        <v>2606</v>
      </c>
      <c r="O1728" s="2"/>
      <c r="P1728" s="4">
        <v>1</v>
      </c>
      <c r="Q1728" s="2" t="s">
        <v>17</v>
      </c>
      <c r="R1728" s="11">
        <f>SUBTOTAL(3,_xlfn.SINGLE(tbl_file[RowId]))</f>
        <v>1</v>
      </c>
    </row>
    <row r="1729" spans="10:18">
      <c r="J1729" s="4">
        <v>1255</v>
      </c>
      <c r="K1729" s="21" t="str">
        <f>HYPERLINK("obsidian://open?vault=o2&amp;file=PC%20Software%20Maintenance.md","PC Software Maintenance")</f>
        <v>PC Software Maintenance</v>
      </c>
      <c r="L1729" s="20" t="s">
        <v>175</v>
      </c>
      <c r="M1729" s="4"/>
      <c r="N1729" s="2" t="s">
        <v>127</v>
      </c>
      <c r="O1729" s="2"/>
      <c r="P1729" s="4">
        <v>1</v>
      </c>
      <c r="Q1729" s="2" t="s">
        <v>1956</v>
      </c>
      <c r="R1729" s="11">
        <f>SUBTOTAL(3,_xlfn.SINGLE(tbl_file[RowId]))</f>
        <v>1</v>
      </c>
    </row>
    <row r="1730" spans="10:18">
      <c r="J1730" s="4">
        <v>1256</v>
      </c>
      <c r="K1730" s="21" t="str">
        <f>HYPERLINK("obsidian://open?vault=o2&amp;file=PC%20Software%20Maintenance.md","PC Software Maintenance")</f>
        <v>PC Software Maintenance</v>
      </c>
      <c r="L1730" s="20" t="s">
        <v>175</v>
      </c>
      <c r="M1730" s="4"/>
      <c r="N1730" s="2" t="s">
        <v>133</v>
      </c>
      <c r="O1730" s="2"/>
      <c r="P1730" s="4">
        <v>1</v>
      </c>
      <c r="Q1730" s="2" t="s">
        <v>2107</v>
      </c>
      <c r="R1730" s="11">
        <f>SUBTOTAL(3,_xlfn.SINGLE(tbl_file[RowId]))</f>
        <v>1</v>
      </c>
    </row>
    <row r="1731" spans="10:18">
      <c r="J1731" s="4">
        <v>2182</v>
      </c>
      <c r="K1731" s="21" t="str">
        <f>HYPERLINK("obsidian://open?vault=o2&amp;file=Peel-and-Eat%20Spiced%20Shrimp%20with%20Chipotle%20R%C3%A9moulade.md","Peel-and-Eat Spiced Shrimp with Chipotle Rémoulade")</f>
        <v>Peel-and-Eat Spiced Shrimp with Chipotle Rémoulade</v>
      </c>
      <c r="L1731" s="20" t="s">
        <v>175</v>
      </c>
      <c r="M1731" s="4"/>
      <c r="N1731" s="2" t="s">
        <v>2606</v>
      </c>
      <c r="O1731" s="2"/>
      <c r="P1731" s="4">
        <v>1</v>
      </c>
      <c r="Q1731" s="2" t="s">
        <v>1002</v>
      </c>
      <c r="R1731" s="11">
        <f>SUBTOTAL(3,_xlfn.SINGLE(tbl_file[RowId]))</f>
        <v>1</v>
      </c>
    </row>
    <row r="1732" spans="10:18">
      <c r="J1732" s="4">
        <v>2183</v>
      </c>
      <c r="K1732" s="21" t="str">
        <f>HYPERLINK("obsidian://open?vault=o2&amp;file=Peel-and-Eat%20Spiced%20Shrimp%20with%20Chipotle%20R%C3%A9moulade.md","Peel-and-Eat Spiced Shrimp with Chipotle Rémoulade")</f>
        <v>Peel-and-Eat Spiced Shrimp with Chipotle Rémoulade</v>
      </c>
      <c r="L1732" s="20" t="s">
        <v>175</v>
      </c>
      <c r="M1732" s="4" t="s">
        <v>2626</v>
      </c>
      <c r="N1732" s="2" t="s">
        <v>2606</v>
      </c>
      <c r="O1732" s="2"/>
      <c r="P1732" s="4">
        <v>1</v>
      </c>
      <c r="Q1732" s="2" t="s">
        <v>2402</v>
      </c>
      <c r="R1732" s="11">
        <f>SUBTOTAL(3,_xlfn.SINGLE(tbl_file[RowId]))</f>
        <v>1</v>
      </c>
    </row>
    <row r="1733" spans="10:18">
      <c r="J1733" s="4">
        <v>807</v>
      </c>
      <c r="K1733" s="21" t="str">
        <f t="shared" ref="K1733:K1771" si="63">HYPERLINK("obsidian://open?vault=o2&amp;file=peeps.md","peeps")</f>
        <v>peeps</v>
      </c>
      <c r="L1733" s="20" t="s">
        <v>175</v>
      </c>
      <c r="M1733" s="4"/>
      <c r="N1733" s="2" t="s">
        <v>2769</v>
      </c>
      <c r="O1733" s="2" t="s">
        <v>2770</v>
      </c>
      <c r="P1733" s="4">
        <v>1</v>
      </c>
      <c r="Q1733" s="2" t="s">
        <v>2771</v>
      </c>
      <c r="R1733" s="11">
        <f>SUBTOTAL(3,_xlfn.SINGLE(tbl_file[RowId]))</f>
        <v>1</v>
      </c>
    </row>
    <row r="1734" spans="10:18">
      <c r="J1734" s="4">
        <v>808</v>
      </c>
      <c r="K1734" s="21" t="str">
        <f t="shared" si="63"/>
        <v>peeps</v>
      </c>
      <c r="L1734" s="20" t="s">
        <v>175</v>
      </c>
      <c r="M1734" s="4"/>
      <c r="N1734" s="2" t="s">
        <v>2772</v>
      </c>
      <c r="O1734" s="2"/>
      <c r="P1734" s="4">
        <v>1</v>
      </c>
      <c r="Q1734" s="2" t="s">
        <v>2771</v>
      </c>
      <c r="R1734" s="11">
        <f>SUBTOTAL(3,_xlfn.SINGLE(tbl_file[RowId]))</f>
        <v>1</v>
      </c>
    </row>
    <row r="1735" spans="10:18">
      <c r="J1735" s="4">
        <v>809</v>
      </c>
      <c r="K1735" s="21" t="str">
        <f t="shared" si="63"/>
        <v>peeps</v>
      </c>
      <c r="L1735" s="20" t="s">
        <v>175</v>
      </c>
      <c r="M1735" s="4"/>
      <c r="N1735" s="2" t="s">
        <v>2773</v>
      </c>
      <c r="O1735" s="2"/>
      <c r="P1735" s="4">
        <v>1</v>
      </c>
      <c r="Q1735" s="2" t="s">
        <v>2771</v>
      </c>
      <c r="R1735" s="11">
        <f>SUBTOTAL(3,_xlfn.SINGLE(tbl_file[RowId]))</f>
        <v>1</v>
      </c>
    </row>
    <row r="1736" spans="10:18">
      <c r="J1736" s="4">
        <v>810</v>
      </c>
      <c r="K1736" s="21" t="str">
        <f t="shared" si="63"/>
        <v>peeps</v>
      </c>
      <c r="L1736" s="20" t="s">
        <v>175</v>
      </c>
      <c r="M1736" s="4"/>
      <c r="N1736" s="2" t="s">
        <v>2774</v>
      </c>
      <c r="O1736" s="2" t="s">
        <v>2775</v>
      </c>
      <c r="P1736" s="4">
        <v>1</v>
      </c>
      <c r="Q1736" s="2" t="s">
        <v>2771</v>
      </c>
      <c r="R1736" s="11">
        <f>SUBTOTAL(3,_xlfn.SINGLE(tbl_file[RowId]))</f>
        <v>1</v>
      </c>
    </row>
    <row r="1737" spans="10:18">
      <c r="J1737" s="4">
        <v>811</v>
      </c>
      <c r="K1737" s="21" t="str">
        <f t="shared" si="63"/>
        <v>peeps</v>
      </c>
      <c r="L1737" s="20" t="s">
        <v>175</v>
      </c>
      <c r="M1737" s="4"/>
      <c r="N1737" s="2" t="s">
        <v>2782</v>
      </c>
      <c r="O1737" s="2"/>
      <c r="P1737" s="4">
        <v>30</v>
      </c>
      <c r="Q1737" s="2" t="s">
        <v>2843</v>
      </c>
      <c r="R1737" s="11">
        <f>SUBTOTAL(3,_xlfn.SINGLE(tbl_file[RowId]))</f>
        <v>1</v>
      </c>
    </row>
    <row r="1738" spans="10:18">
      <c r="J1738" s="4">
        <v>812</v>
      </c>
      <c r="K1738" s="21" t="str">
        <f t="shared" si="63"/>
        <v>peeps</v>
      </c>
      <c r="L1738" s="20" t="s">
        <v>175</v>
      </c>
      <c r="M1738" s="4"/>
      <c r="N1738" s="2" t="s">
        <v>2784</v>
      </c>
      <c r="O1738" s="2"/>
      <c r="P1738" s="4">
        <v>30</v>
      </c>
      <c r="Q1738" s="2" t="s">
        <v>2844</v>
      </c>
      <c r="R1738" s="11">
        <f>SUBTOTAL(3,_xlfn.SINGLE(tbl_file[RowId]))</f>
        <v>1</v>
      </c>
    </row>
    <row r="1739" spans="10:18">
      <c r="J1739" s="4">
        <v>813</v>
      </c>
      <c r="K1739" s="21" t="str">
        <f t="shared" si="63"/>
        <v>peeps</v>
      </c>
      <c r="L1739" s="20" t="s">
        <v>175</v>
      </c>
      <c r="M1739" s="4"/>
      <c r="N1739" s="2" t="s">
        <v>2788</v>
      </c>
      <c r="O1739" s="2" t="s">
        <v>2789</v>
      </c>
      <c r="P1739" s="4">
        <v>2</v>
      </c>
      <c r="Q1739" s="2" t="s">
        <v>2832</v>
      </c>
      <c r="R1739" s="11">
        <f>SUBTOTAL(3,_xlfn.SINGLE(tbl_file[RowId]))</f>
        <v>1</v>
      </c>
    </row>
    <row r="1740" spans="10:18">
      <c r="J1740" s="4">
        <v>814</v>
      </c>
      <c r="K1740" s="21" t="str">
        <f t="shared" si="63"/>
        <v>peeps</v>
      </c>
      <c r="L1740" s="20" t="s">
        <v>175</v>
      </c>
      <c r="M1740" s="4"/>
      <c r="N1740" s="2" t="s">
        <v>2845</v>
      </c>
      <c r="O1740" s="2" t="s">
        <v>2846</v>
      </c>
      <c r="P1740" s="4">
        <v>2</v>
      </c>
      <c r="Q1740" s="2" t="s">
        <v>2847</v>
      </c>
      <c r="R1740" s="11">
        <f>SUBTOTAL(3,_xlfn.SINGLE(tbl_file[RowId]))</f>
        <v>1</v>
      </c>
    </row>
    <row r="1741" spans="10:18">
      <c r="J1741" s="4">
        <v>815</v>
      </c>
      <c r="K1741" s="21" t="str">
        <f t="shared" si="63"/>
        <v>peeps</v>
      </c>
      <c r="L1741" s="20" t="s">
        <v>175</v>
      </c>
      <c r="M1741" s="4"/>
      <c r="N1741" s="2" t="s">
        <v>2791</v>
      </c>
      <c r="O1741" s="2" t="s">
        <v>2792</v>
      </c>
      <c r="P1741" s="4">
        <v>2</v>
      </c>
      <c r="Q1741" s="2" t="s">
        <v>2848</v>
      </c>
      <c r="R1741" s="11">
        <f>SUBTOTAL(3,_xlfn.SINGLE(tbl_file[RowId]))</f>
        <v>1</v>
      </c>
    </row>
    <row r="1742" spans="10:18">
      <c r="J1742" s="4">
        <v>816</v>
      </c>
      <c r="K1742" s="21" t="str">
        <f t="shared" si="63"/>
        <v>peeps</v>
      </c>
      <c r="L1742" s="20" t="s">
        <v>175</v>
      </c>
      <c r="M1742" s="4"/>
      <c r="N1742" s="2" t="s">
        <v>2849</v>
      </c>
      <c r="O1742" s="2"/>
      <c r="P1742" s="4">
        <v>1</v>
      </c>
      <c r="Q1742" s="2" t="s">
        <v>2850</v>
      </c>
      <c r="R1742" s="11">
        <f>SUBTOTAL(3,_xlfn.SINGLE(tbl_file[RowId]))</f>
        <v>1</v>
      </c>
    </row>
    <row r="1743" spans="10:18">
      <c r="J1743" s="4">
        <v>817</v>
      </c>
      <c r="K1743" s="21" t="str">
        <f t="shared" si="63"/>
        <v>peeps</v>
      </c>
      <c r="L1743" s="20" t="s">
        <v>175</v>
      </c>
      <c r="M1743" s="4"/>
      <c r="N1743" s="2" t="s">
        <v>2851</v>
      </c>
      <c r="O1743" s="2"/>
      <c r="P1743" s="4">
        <v>1</v>
      </c>
      <c r="Q1743" s="2" t="s">
        <v>2852</v>
      </c>
      <c r="R1743" s="11">
        <f>SUBTOTAL(3,_xlfn.SINGLE(tbl_file[RowId]))</f>
        <v>1</v>
      </c>
    </row>
    <row r="1744" spans="10:18">
      <c r="J1744" s="4">
        <v>818</v>
      </c>
      <c r="K1744" s="21" t="str">
        <f t="shared" si="63"/>
        <v>peeps</v>
      </c>
      <c r="L1744" s="20" t="s">
        <v>175</v>
      </c>
      <c r="M1744" s="4"/>
      <c r="N1744" s="2" t="s">
        <v>2853</v>
      </c>
      <c r="O1744" s="2"/>
      <c r="P1744" s="4">
        <v>2</v>
      </c>
      <c r="Q1744" s="2" t="s">
        <v>2854</v>
      </c>
      <c r="R1744" s="11">
        <f>SUBTOTAL(3,_xlfn.SINGLE(tbl_file[RowId]))</f>
        <v>1</v>
      </c>
    </row>
    <row r="1745" spans="10:18">
      <c r="J1745" s="4">
        <v>819</v>
      </c>
      <c r="K1745" s="21" t="str">
        <f t="shared" si="63"/>
        <v>peeps</v>
      </c>
      <c r="L1745" s="20" t="s">
        <v>175</v>
      </c>
      <c r="M1745" s="4"/>
      <c r="N1745" s="2" t="s">
        <v>2855</v>
      </c>
      <c r="O1745" s="2" t="s">
        <v>2856</v>
      </c>
      <c r="P1745" s="4">
        <v>2</v>
      </c>
      <c r="Q1745" s="2" t="s">
        <v>2787</v>
      </c>
      <c r="R1745" s="11">
        <f>SUBTOTAL(3,_xlfn.SINGLE(tbl_file[RowId]))</f>
        <v>1</v>
      </c>
    </row>
    <row r="1746" spans="10:18">
      <c r="J1746" s="4">
        <v>820</v>
      </c>
      <c r="K1746" s="21" t="str">
        <f t="shared" si="63"/>
        <v>peeps</v>
      </c>
      <c r="L1746" s="20" t="s">
        <v>175</v>
      </c>
      <c r="M1746" s="4"/>
      <c r="N1746" s="2" t="s">
        <v>2794</v>
      </c>
      <c r="O1746" s="2" t="s">
        <v>2795</v>
      </c>
      <c r="P1746" s="4">
        <v>3</v>
      </c>
      <c r="Q1746" s="2" t="s">
        <v>2857</v>
      </c>
      <c r="R1746" s="11">
        <f>SUBTOTAL(3,_xlfn.SINGLE(tbl_file[RowId]))</f>
        <v>1</v>
      </c>
    </row>
    <row r="1747" spans="10:18">
      <c r="J1747" s="4">
        <v>821</v>
      </c>
      <c r="K1747" s="21" t="str">
        <f t="shared" si="63"/>
        <v>peeps</v>
      </c>
      <c r="L1747" s="20" t="s">
        <v>175</v>
      </c>
      <c r="M1747" s="4"/>
      <c r="N1747" s="2" t="s">
        <v>2858</v>
      </c>
      <c r="O1747" s="2" t="s">
        <v>2859</v>
      </c>
      <c r="P1747" s="4">
        <v>1</v>
      </c>
      <c r="Q1747" s="2" t="s">
        <v>2692</v>
      </c>
      <c r="R1747" s="11">
        <f>SUBTOTAL(3,_xlfn.SINGLE(tbl_file[RowId]))</f>
        <v>1</v>
      </c>
    </row>
    <row r="1748" spans="10:18">
      <c r="J1748" s="4">
        <v>822</v>
      </c>
      <c r="K1748" s="21" t="str">
        <f t="shared" si="63"/>
        <v>peeps</v>
      </c>
      <c r="L1748" s="20" t="s">
        <v>175</v>
      </c>
      <c r="M1748" s="4"/>
      <c r="N1748" s="2" t="s">
        <v>2800</v>
      </c>
      <c r="O1748" s="2"/>
      <c r="P1748" s="4">
        <v>1</v>
      </c>
      <c r="Q1748" s="2" t="s">
        <v>2860</v>
      </c>
      <c r="R1748" s="11">
        <f>SUBTOTAL(3,_xlfn.SINGLE(tbl_file[RowId]))</f>
        <v>1</v>
      </c>
    </row>
    <row r="1749" spans="10:18">
      <c r="J1749" s="4">
        <v>823</v>
      </c>
      <c r="K1749" s="21" t="str">
        <f t="shared" si="63"/>
        <v>peeps</v>
      </c>
      <c r="L1749" s="20" t="s">
        <v>175</v>
      </c>
      <c r="M1749" s="4"/>
      <c r="N1749" s="2" t="s">
        <v>2802</v>
      </c>
      <c r="O1749" s="2"/>
      <c r="P1749" s="4">
        <v>1</v>
      </c>
      <c r="Q1749" s="2" t="s">
        <v>2861</v>
      </c>
      <c r="R1749" s="11">
        <f>SUBTOTAL(3,_xlfn.SINGLE(tbl_file[RowId]))</f>
        <v>1</v>
      </c>
    </row>
    <row r="1750" spans="10:18">
      <c r="J1750" s="4">
        <v>824</v>
      </c>
      <c r="K1750" s="21" t="str">
        <f t="shared" si="63"/>
        <v>peeps</v>
      </c>
      <c r="L1750" s="20" t="s">
        <v>175</v>
      </c>
      <c r="M1750" s="4"/>
      <c r="N1750" s="2" t="s">
        <v>2804</v>
      </c>
      <c r="O1750" s="2"/>
      <c r="P1750" s="4">
        <v>1</v>
      </c>
      <c r="Q1750" s="2" t="s">
        <v>2862</v>
      </c>
      <c r="R1750" s="11">
        <f>SUBTOTAL(3,_xlfn.SINGLE(tbl_file[RowId]))</f>
        <v>1</v>
      </c>
    </row>
    <row r="1751" spans="10:18">
      <c r="J1751" s="4">
        <v>825</v>
      </c>
      <c r="K1751" s="21" t="str">
        <f t="shared" si="63"/>
        <v>peeps</v>
      </c>
      <c r="L1751" s="20" t="s">
        <v>175</v>
      </c>
      <c r="M1751" s="4"/>
      <c r="N1751" s="2" t="s">
        <v>2810</v>
      </c>
      <c r="O1751" s="2" t="s">
        <v>2811</v>
      </c>
      <c r="P1751" s="4">
        <v>2</v>
      </c>
      <c r="Q1751" s="2" t="s">
        <v>2863</v>
      </c>
      <c r="R1751" s="11">
        <f>SUBTOTAL(3,_xlfn.SINGLE(tbl_file[RowId]))</f>
        <v>1</v>
      </c>
    </row>
    <row r="1752" spans="10:18">
      <c r="J1752" s="4">
        <v>826</v>
      </c>
      <c r="K1752" s="21" t="str">
        <f t="shared" si="63"/>
        <v>peeps</v>
      </c>
      <c r="L1752" s="20" t="s">
        <v>175</v>
      </c>
      <c r="M1752" s="4"/>
      <c r="N1752" s="2" t="s">
        <v>2812</v>
      </c>
      <c r="O1752" s="2"/>
      <c r="P1752" s="4">
        <v>30</v>
      </c>
      <c r="Q1752" s="2" t="s">
        <v>2864</v>
      </c>
      <c r="R1752" s="11">
        <f>SUBTOTAL(3,_xlfn.SINGLE(tbl_file[RowId]))</f>
        <v>1</v>
      </c>
    </row>
    <row r="1753" spans="10:18">
      <c r="J1753" s="4">
        <v>827</v>
      </c>
      <c r="K1753" s="21" t="str">
        <f t="shared" si="63"/>
        <v>peeps</v>
      </c>
      <c r="L1753" s="20" t="s">
        <v>175</v>
      </c>
      <c r="M1753" s="4"/>
      <c r="N1753" s="2" t="s">
        <v>2865</v>
      </c>
      <c r="O1753" s="2"/>
      <c r="P1753" s="4">
        <v>1</v>
      </c>
      <c r="Q1753" s="2" t="s">
        <v>2667</v>
      </c>
      <c r="R1753" s="11">
        <f>SUBTOTAL(3,_xlfn.SINGLE(tbl_file[RowId]))</f>
        <v>1</v>
      </c>
    </row>
    <row r="1754" spans="10:18">
      <c r="J1754" s="4">
        <v>828</v>
      </c>
      <c r="K1754" s="21" t="str">
        <f t="shared" si="63"/>
        <v>peeps</v>
      </c>
      <c r="L1754" s="20" t="s">
        <v>175</v>
      </c>
      <c r="M1754" s="4"/>
      <c r="N1754" s="2" t="s">
        <v>2814</v>
      </c>
      <c r="O1754" s="2"/>
      <c r="P1754" s="4">
        <v>30</v>
      </c>
      <c r="Q1754" s="2" t="s">
        <v>2866</v>
      </c>
      <c r="R1754" s="11">
        <f>SUBTOTAL(3,_xlfn.SINGLE(tbl_file[RowId]))</f>
        <v>1</v>
      </c>
    </row>
    <row r="1755" spans="10:18">
      <c r="J1755" s="4">
        <v>829</v>
      </c>
      <c r="K1755" s="21" t="str">
        <f t="shared" si="63"/>
        <v>peeps</v>
      </c>
      <c r="L1755" s="20" t="s">
        <v>175</v>
      </c>
      <c r="M1755" s="4"/>
      <c r="N1755" s="2" t="s">
        <v>2816</v>
      </c>
      <c r="O1755" s="2" t="s">
        <v>2817</v>
      </c>
      <c r="P1755" s="4">
        <v>30</v>
      </c>
      <c r="Q1755" s="2" t="s">
        <v>2867</v>
      </c>
      <c r="R1755" s="11">
        <f>SUBTOTAL(3,_xlfn.SINGLE(tbl_file[RowId]))</f>
        <v>1</v>
      </c>
    </row>
    <row r="1756" spans="10:18">
      <c r="J1756" s="4">
        <v>830</v>
      </c>
      <c r="K1756" s="21" t="str">
        <f t="shared" si="63"/>
        <v>peeps</v>
      </c>
      <c r="L1756" s="20" t="s">
        <v>175</v>
      </c>
      <c r="M1756" s="4"/>
      <c r="N1756" s="2" t="s">
        <v>2819</v>
      </c>
      <c r="O1756" s="2" t="s">
        <v>2820</v>
      </c>
      <c r="P1756" s="4">
        <v>1</v>
      </c>
      <c r="Q1756" s="2" t="s">
        <v>2868</v>
      </c>
      <c r="R1756" s="11">
        <f>SUBTOTAL(3,_xlfn.SINGLE(tbl_file[RowId]))</f>
        <v>1</v>
      </c>
    </row>
    <row r="1757" spans="10:18">
      <c r="J1757" s="4">
        <v>831</v>
      </c>
      <c r="K1757" s="21" t="str">
        <f t="shared" si="63"/>
        <v>peeps</v>
      </c>
      <c r="L1757" s="20" t="s">
        <v>175</v>
      </c>
      <c r="M1757" s="4"/>
      <c r="N1757" s="2" t="s">
        <v>44</v>
      </c>
      <c r="O1757" s="2"/>
      <c r="P1757" s="4">
        <v>1</v>
      </c>
      <c r="Q1757" s="2" t="s">
        <v>2869</v>
      </c>
      <c r="R1757" s="11">
        <f>SUBTOTAL(3,_xlfn.SINGLE(tbl_file[RowId]))</f>
        <v>1</v>
      </c>
    </row>
    <row r="1758" spans="10:18">
      <c r="J1758" s="4">
        <v>832</v>
      </c>
      <c r="K1758" s="21" t="str">
        <f t="shared" si="63"/>
        <v>peeps</v>
      </c>
      <c r="L1758" s="20" t="s">
        <v>175</v>
      </c>
      <c r="M1758" s="4"/>
      <c r="N1758" s="2" t="s">
        <v>49</v>
      </c>
      <c r="O1758" s="2"/>
      <c r="P1758" s="4">
        <v>1</v>
      </c>
      <c r="Q1758" s="2" t="s">
        <v>2870</v>
      </c>
      <c r="R1758" s="11">
        <f>SUBTOTAL(3,_xlfn.SINGLE(tbl_file[RowId]))</f>
        <v>1</v>
      </c>
    </row>
    <row r="1759" spans="10:18">
      <c r="J1759" s="4">
        <v>833</v>
      </c>
      <c r="K1759" s="21" t="str">
        <f t="shared" si="63"/>
        <v>peeps</v>
      </c>
      <c r="L1759" s="20" t="s">
        <v>175</v>
      </c>
      <c r="M1759" s="4"/>
      <c r="N1759" s="2" t="s">
        <v>51</v>
      </c>
      <c r="O1759" s="2" t="s">
        <v>2821</v>
      </c>
      <c r="P1759" s="4">
        <v>1</v>
      </c>
      <c r="Q1759" s="2" t="s">
        <v>2667</v>
      </c>
      <c r="R1759" s="11">
        <f>SUBTOTAL(3,_xlfn.SINGLE(tbl_file[RowId]))</f>
        <v>1</v>
      </c>
    </row>
    <row r="1760" spans="10:18">
      <c r="J1760" s="4">
        <v>834</v>
      </c>
      <c r="K1760" s="21" t="str">
        <f t="shared" si="63"/>
        <v>peeps</v>
      </c>
      <c r="L1760" s="20" t="s">
        <v>175</v>
      </c>
      <c r="M1760" s="4"/>
      <c r="N1760" s="2" t="s">
        <v>2871</v>
      </c>
      <c r="O1760" s="2"/>
      <c r="P1760" s="4">
        <v>1</v>
      </c>
      <c r="Q1760" s="2" t="s">
        <v>2771</v>
      </c>
      <c r="R1760" s="11">
        <f>SUBTOTAL(3,_xlfn.SINGLE(tbl_file[RowId]))</f>
        <v>1</v>
      </c>
    </row>
    <row r="1761" spans="10:18">
      <c r="J1761" s="4">
        <v>835</v>
      </c>
      <c r="K1761" s="21" t="str">
        <f t="shared" si="63"/>
        <v>peeps</v>
      </c>
      <c r="L1761" s="20" t="s">
        <v>175</v>
      </c>
      <c r="M1761" s="4"/>
      <c r="N1761" s="2" t="s">
        <v>2872</v>
      </c>
      <c r="O1761" s="2"/>
      <c r="P1761" s="4">
        <v>33</v>
      </c>
      <c r="Q1761" s="2" t="s">
        <v>2873</v>
      </c>
      <c r="R1761" s="11">
        <f>SUBTOTAL(3,_xlfn.SINGLE(tbl_file[RowId]))</f>
        <v>1</v>
      </c>
    </row>
    <row r="1762" spans="10:18">
      <c r="J1762" s="4">
        <v>836</v>
      </c>
      <c r="K1762" s="21" t="str">
        <f t="shared" si="63"/>
        <v>peeps</v>
      </c>
      <c r="L1762" s="20" t="s">
        <v>175</v>
      </c>
      <c r="M1762" s="4"/>
      <c r="N1762" s="2" t="s">
        <v>2874</v>
      </c>
      <c r="O1762" s="2"/>
      <c r="P1762" s="4">
        <v>33</v>
      </c>
      <c r="Q1762" s="2" t="s">
        <v>2875</v>
      </c>
      <c r="R1762" s="11">
        <f>SUBTOTAL(3,_xlfn.SINGLE(tbl_file[RowId]))</f>
        <v>1</v>
      </c>
    </row>
    <row r="1763" spans="10:18">
      <c r="J1763" s="4">
        <v>837</v>
      </c>
      <c r="K1763" s="21" t="str">
        <f t="shared" si="63"/>
        <v>peeps</v>
      </c>
      <c r="L1763" s="20" t="s">
        <v>175</v>
      </c>
      <c r="M1763" s="4"/>
      <c r="N1763" s="2" t="s">
        <v>2876</v>
      </c>
      <c r="O1763" s="2"/>
      <c r="P1763" s="4">
        <v>33</v>
      </c>
      <c r="Q1763" s="2" t="s">
        <v>2877</v>
      </c>
      <c r="R1763" s="11">
        <f>SUBTOTAL(3,_xlfn.SINGLE(tbl_file[RowId]))</f>
        <v>1</v>
      </c>
    </row>
    <row r="1764" spans="10:18">
      <c r="J1764" s="4">
        <v>838</v>
      </c>
      <c r="K1764" s="21" t="str">
        <f t="shared" si="63"/>
        <v>peeps</v>
      </c>
      <c r="L1764" s="20" t="s">
        <v>175</v>
      </c>
      <c r="M1764" s="4"/>
      <c r="N1764" s="2" t="s">
        <v>2878</v>
      </c>
      <c r="O1764" s="2"/>
      <c r="P1764" s="4">
        <v>33</v>
      </c>
      <c r="Q1764" s="2" t="s">
        <v>2879</v>
      </c>
      <c r="R1764" s="11">
        <f>SUBTOTAL(3,_xlfn.SINGLE(tbl_file[RowId]))</f>
        <v>1</v>
      </c>
    </row>
    <row r="1765" spans="10:18">
      <c r="J1765" s="4">
        <v>839</v>
      </c>
      <c r="K1765" s="21" t="str">
        <f t="shared" si="63"/>
        <v>peeps</v>
      </c>
      <c r="L1765" s="20" t="s">
        <v>175</v>
      </c>
      <c r="M1765" s="4"/>
      <c r="N1765" s="2" t="s">
        <v>2880</v>
      </c>
      <c r="O1765" s="2"/>
      <c r="P1765" s="4">
        <v>33</v>
      </c>
      <c r="Q1765" s="2" t="s">
        <v>2875</v>
      </c>
      <c r="R1765" s="11">
        <f>SUBTOTAL(3,_xlfn.SINGLE(tbl_file[RowId]))</f>
        <v>1</v>
      </c>
    </row>
    <row r="1766" spans="10:18">
      <c r="J1766" s="4">
        <v>840</v>
      </c>
      <c r="K1766" s="21" t="str">
        <f t="shared" si="63"/>
        <v>peeps</v>
      </c>
      <c r="L1766" s="20" t="s">
        <v>175</v>
      </c>
      <c r="M1766" s="4"/>
      <c r="N1766" s="2" t="s">
        <v>2881</v>
      </c>
      <c r="O1766" s="2"/>
      <c r="P1766" s="4">
        <v>33</v>
      </c>
      <c r="Q1766" s="2" t="s">
        <v>2877</v>
      </c>
      <c r="R1766" s="11">
        <f>SUBTOTAL(3,_xlfn.SINGLE(tbl_file[RowId]))</f>
        <v>1</v>
      </c>
    </row>
    <row r="1767" spans="10:18">
      <c r="J1767" s="4">
        <v>841</v>
      </c>
      <c r="K1767" s="21" t="str">
        <f t="shared" si="63"/>
        <v>peeps</v>
      </c>
      <c r="L1767" s="20" t="s">
        <v>175</v>
      </c>
      <c r="M1767" s="4"/>
      <c r="N1767" s="2" t="s">
        <v>2882</v>
      </c>
      <c r="O1767" s="2"/>
      <c r="P1767" s="4">
        <v>33</v>
      </c>
      <c r="Q1767" s="2" t="s">
        <v>2883</v>
      </c>
      <c r="R1767" s="11">
        <f>SUBTOTAL(3,_xlfn.SINGLE(tbl_file[RowId]))</f>
        <v>1</v>
      </c>
    </row>
    <row r="1768" spans="10:18">
      <c r="J1768" s="4">
        <v>842</v>
      </c>
      <c r="K1768" s="21" t="str">
        <f t="shared" si="63"/>
        <v>peeps</v>
      </c>
      <c r="L1768" s="20" t="s">
        <v>175</v>
      </c>
      <c r="M1768" s="4"/>
      <c r="N1768" s="2" t="s">
        <v>2884</v>
      </c>
      <c r="O1768" s="2"/>
      <c r="P1768" s="4">
        <v>1</v>
      </c>
      <c r="Q1768" s="2" t="s">
        <v>2885</v>
      </c>
      <c r="R1768" s="11">
        <f>SUBTOTAL(3,_xlfn.SINGLE(tbl_file[RowId]))</f>
        <v>1</v>
      </c>
    </row>
    <row r="1769" spans="10:18">
      <c r="J1769" s="4">
        <v>843</v>
      </c>
      <c r="K1769" s="21" t="str">
        <f t="shared" si="63"/>
        <v>peeps</v>
      </c>
      <c r="L1769" s="20" t="s">
        <v>175</v>
      </c>
      <c r="M1769" s="4"/>
      <c r="N1769" s="2" t="s">
        <v>2886</v>
      </c>
      <c r="O1769" s="2"/>
      <c r="P1769" s="4">
        <v>1</v>
      </c>
      <c r="Q1769" s="2" t="s">
        <v>2771</v>
      </c>
      <c r="R1769" s="11">
        <f>SUBTOTAL(3,_xlfn.SINGLE(tbl_file[RowId]))</f>
        <v>1</v>
      </c>
    </row>
    <row r="1770" spans="10:18">
      <c r="J1770" s="4">
        <v>844</v>
      </c>
      <c r="K1770" s="21" t="str">
        <f t="shared" si="63"/>
        <v>peeps</v>
      </c>
      <c r="L1770" s="20" t="s">
        <v>175</v>
      </c>
      <c r="M1770" s="4"/>
      <c r="N1770" s="2" t="s">
        <v>2824</v>
      </c>
      <c r="O1770" s="2" t="s">
        <v>2825</v>
      </c>
      <c r="P1770" s="4">
        <v>1</v>
      </c>
      <c r="Q1770" s="2" t="s">
        <v>2771</v>
      </c>
      <c r="R1770" s="11">
        <f>SUBTOTAL(3,_xlfn.SINGLE(tbl_file[RowId]))</f>
        <v>1</v>
      </c>
    </row>
    <row r="1771" spans="10:18">
      <c r="J1771" s="4">
        <v>845</v>
      </c>
      <c r="K1771" s="21" t="str">
        <f t="shared" si="63"/>
        <v>peeps</v>
      </c>
      <c r="L1771" s="20" t="s">
        <v>175</v>
      </c>
      <c r="M1771" s="4"/>
      <c r="N1771" s="2" t="s">
        <v>2826</v>
      </c>
      <c r="O1771" s="2"/>
      <c r="P1771" s="4">
        <v>1</v>
      </c>
      <c r="Q1771" s="2" t="s">
        <v>2887</v>
      </c>
      <c r="R1771" s="11">
        <f>SUBTOTAL(3,_xlfn.SINGLE(tbl_file[RowId]))</f>
        <v>1</v>
      </c>
    </row>
    <row r="1772" spans="10:18">
      <c r="J1772" s="4">
        <v>2472</v>
      </c>
      <c r="K1772" s="21" t="str">
        <f t="shared" ref="K1772:K1806" si="64">HYPERLINK("obsidian://open?vault=o2&amp;file=peepsTemplate.md","peepsTemplate")</f>
        <v>peepsTemplate</v>
      </c>
      <c r="L1772" s="20" t="s">
        <v>175</v>
      </c>
      <c r="M1772" s="4"/>
      <c r="N1772" s="2" t="s">
        <v>14</v>
      </c>
      <c r="O1772" s="2"/>
      <c r="P1772" s="4">
        <v>1</v>
      </c>
      <c r="Q1772" s="2" t="s">
        <v>344</v>
      </c>
      <c r="R1772" s="11">
        <f>SUBTOTAL(3,_xlfn.SINGLE(tbl_file[RowId]))</f>
        <v>1</v>
      </c>
    </row>
    <row r="1773" spans="10:18">
      <c r="J1773" s="4">
        <v>2473</v>
      </c>
      <c r="K1773" s="21" t="str">
        <f t="shared" si="64"/>
        <v>peepsTemplate</v>
      </c>
      <c r="L1773" s="20" t="s">
        <v>175</v>
      </c>
      <c r="M1773" s="4"/>
      <c r="N1773" s="2" t="s">
        <v>41</v>
      </c>
      <c r="O1773" s="2" t="s">
        <v>3188</v>
      </c>
      <c r="P1773" s="4">
        <v>1</v>
      </c>
      <c r="Q1773" s="2" t="s">
        <v>599</v>
      </c>
      <c r="R1773" s="11">
        <f>SUBTOTAL(3,_xlfn.SINGLE(tbl_file[RowId]))</f>
        <v>1</v>
      </c>
    </row>
    <row r="1774" spans="10:18">
      <c r="J1774" s="4">
        <v>2474</v>
      </c>
      <c r="K1774" s="21" t="str">
        <f t="shared" si="64"/>
        <v>peepsTemplate</v>
      </c>
      <c r="L1774" s="20" t="s">
        <v>175</v>
      </c>
      <c r="M1774" s="4"/>
      <c r="N1774" s="2" t="s">
        <v>50</v>
      </c>
      <c r="O1774" s="2" t="s">
        <v>2646</v>
      </c>
      <c r="P1774" s="4">
        <v>1</v>
      </c>
      <c r="Q1774" s="2" t="s">
        <v>1712</v>
      </c>
      <c r="R1774" s="11">
        <f>SUBTOTAL(3,_xlfn.SINGLE(tbl_file[RowId]))</f>
        <v>1</v>
      </c>
    </row>
    <row r="1775" spans="10:18">
      <c r="J1775" s="4">
        <v>2475</v>
      </c>
      <c r="K1775" s="21" t="str">
        <f t="shared" si="64"/>
        <v>peepsTemplate</v>
      </c>
      <c r="L1775" s="20" t="s">
        <v>175</v>
      </c>
      <c r="M1775" s="4"/>
      <c r="N1775" s="2" t="s">
        <v>55</v>
      </c>
      <c r="O1775" s="2" t="s">
        <v>3189</v>
      </c>
      <c r="P1775" s="4">
        <v>1</v>
      </c>
      <c r="Q1775" s="2" t="s">
        <v>2634</v>
      </c>
      <c r="R1775" s="11">
        <f>SUBTOTAL(3,_xlfn.SINGLE(tbl_file[RowId]))</f>
        <v>1</v>
      </c>
    </row>
    <row r="1776" spans="10:18">
      <c r="J1776" s="4">
        <v>2476</v>
      </c>
      <c r="K1776" s="21" t="str">
        <f t="shared" si="64"/>
        <v>peepsTemplate</v>
      </c>
      <c r="L1776" s="20" t="s">
        <v>175</v>
      </c>
      <c r="M1776" s="4"/>
      <c r="N1776" s="2" t="s">
        <v>56</v>
      </c>
      <c r="O1776" s="2" t="s">
        <v>3190</v>
      </c>
      <c r="P1776" s="4">
        <v>1</v>
      </c>
      <c r="Q1776" s="2" t="s">
        <v>2634</v>
      </c>
      <c r="R1776" s="11">
        <f>SUBTOTAL(3,_xlfn.SINGLE(tbl_file[RowId]))</f>
        <v>1</v>
      </c>
    </row>
    <row r="1777" spans="10:18">
      <c r="J1777" s="4">
        <v>2477</v>
      </c>
      <c r="K1777" s="21" t="str">
        <f t="shared" si="64"/>
        <v>peepsTemplate</v>
      </c>
      <c r="L1777" s="20" t="s">
        <v>175</v>
      </c>
      <c r="M1777" s="4"/>
      <c r="N1777" s="2" t="s">
        <v>57</v>
      </c>
      <c r="O1777" s="2" t="s">
        <v>3191</v>
      </c>
      <c r="P1777" s="4">
        <v>1</v>
      </c>
      <c r="Q1777" s="2" t="s">
        <v>2634</v>
      </c>
      <c r="R1777" s="11">
        <f>SUBTOTAL(3,_xlfn.SINGLE(tbl_file[RowId]))</f>
        <v>1</v>
      </c>
    </row>
    <row r="1778" spans="10:18">
      <c r="J1778" s="4">
        <v>2478</v>
      </c>
      <c r="K1778" s="21" t="str">
        <f t="shared" si="64"/>
        <v>peepsTemplate</v>
      </c>
      <c r="L1778" s="20" t="s">
        <v>175</v>
      </c>
      <c r="M1778" s="4"/>
      <c r="N1778" s="2" t="s">
        <v>58</v>
      </c>
      <c r="O1778" s="2" t="s">
        <v>3192</v>
      </c>
      <c r="P1778" s="4">
        <v>1</v>
      </c>
      <c r="Q1778" s="2" t="s">
        <v>2634</v>
      </c>
      <c r="R1778" s="11">
        <f>SUBTOTAL(3,_xlfn.SINGLE(tbl_file[RowId]))</f>
        <v>1</v>
      </c>
    </row>
    <row r="1779" spans="10:18">
      <c r="J1779" s="4">
        <v>2479</v>
      </c>
      <c r="K1779" s="21" t="str">
        <f t="shared" si="64"/>
        <v>peepsTemplate</v>
      </c>
      <c r="L1779" s="20" t="s">
        <v>175</v>
      </c>
      <c r="M1779" s="4"/>
      <c r="N1779" s="2" t="s">
        <v>59</v>
      </c>
      <c r="O1779" s="2" t="s">
        <v>3193</v>
      </c>
      <c r="P1779" s="4">
        <v>1</v>
      </c>
      <c r="Q1779" s="2" t="s">
        <v>2634</v>
      </c>
      <c r="R1779" s="11">
        <f>SUBTOTAL(3,_xlfn.SINGLE(tbl_file[RowId]))</f>
        <v>1</v>
      </c>
    </row>
    <row r="1780" spans="10:18">
      <c r="J1780" s="4">
        <v>2480</v>
      </c>
      <c r="K1780" s="21" t="str">
        <f t="shared" si="64"/>
        <v>peepsTemplate</v>
      </c>
      <c r="L1780" s="20" t="s">
        <v>175</v>
      </c>
      <c r="M1780" s="4"/>
      <c r="N1780" s="2" t="s">
        <v>61</v>
      </c>
      <c r="O1780" s="2" t="s">
        <v>3194</v>
      </c>
      <c r="P1780" s="4">
        <v>1</v>
      </c>
      <c r="Q1780" s="2" t="s">
        <v>2634</v>
      </c>
      <c r="R1780" s="11">
        <f>SUBTOTAL(3,_xlfn.SINGLE(tbl_file[RowId]))</f>
        <v>1</v>
      </c>
    </row>
    <row r="1781" spans="10:18">
      <c r="J1781" s="4">
        <v>2481</v>
      </c>
      <c r="K1781" s="21" t="str">
        <f t="shared" si="64"/>
        <v>peepsTemplate</v>
      </c>
      <c r="L1781" s="20" t="s">
        <v>175</v>
      </c>
      <c r="M1781" s="4"/>
      <c r="N1781" s="2" t="s">
        <v>62</v>
      </c>
      <c r="O1781" s="2" t="s">
        <v>3195</v>
      </c>
      <c r="P1781" s="4">
        <v>1</v>
      </c>
      <c r="Q1781" s="2" t="s">
        <v>2634</v>
      </c>
      <c r="R1781" s="11">
        <f>SUBTOTAL(3,_xlfn.SINGLE(tbl_file[RowId]))</f>
        <v>1</v>
      </c>
    </row>
    <row r="1782" spans="10:18">
      <c r="J1782" s="4">
        <v>2482</v>
      </c>
      <c r="K1782" s="21" t="str">
        <f t="shared" si="64"/>
        <v>peepsTemplate</v>
      </c>
      <c r="L1782" s="20" t="s">
        <v>175</v>
      </c>
      <c r="M1782" s="4"/>
      <c r="N1782" s="2" t="s">
        <v>64</v>
      </c>
      <c r="O1782" s="2" t="s">
        <v>3196</v>
      </c>
      <c r="P1782" s="4">
        <v>1</v>
      </c>
      <c r="Q1782" s="2" t="s">
        <v>2634</v>
      </c>
      <c r="R1782" s="11">
        <f>SUBTOTAL(3,_xlfn.SINGLE(tbl_file[RowId]))</f>
        <v>1</v>
      </c>
    </row>
    <row r="1783" spans="10:18">
      <c r="J1783" s="4">
        <v>2483</v>
      </c>
      <c r="K1783" s="21" t="str">
        <f t="shared" si="64"/>
        <v>peepsTemplate</v>
      </c>
      <c r="L1783" s="20" t="s">
        <v>175</v>
      </c>
      <c r="M1783" s="4"/>
      <c r="N1783" s="2" t="s">
        <v>66</v>
      </c>
      <c r="O1783" s="2" t="s">
        <v>3197</v>
      </c>
      <c r="P1783" s="4">
        <v>1</v>
      </c>
      <c r="Q1783" s="2" t="s">
        <v>2634</v>
      </c>
      <c r="R1783" s="11">
        <f>SUBTOTAL(3,_xlfn.SINGLE(tbl_file[RowId]))</f>
        <v>1</v>
      </c>
    </row>
    <row r="1784" spans="10:18">
      <c r="J1784" s="4">
        <v>2484</v>
      </c>
      <c r="K1784" s="21" t="str">
        <f t="shared" si="64"/>
        <v>peepsTemplate</v>
      </c>
      <c r="L1784" s="20" t="s">
        <v>175</v>
      </c>
      <c r="M1784" s="4"/>
      <c r="N1784" s="2" t="s">
        <v>68</v>
      </c>
      <c r="O1784" s="2" t="s">
        <v>3198</v>
      </c>
      <c r="P1784" s="4">
        <v>1</v>
      </c>
      <c r="Q1784" s="2" t="s">
        <v>2634</v>
      </c>
      <c r="R1784" s="11">
        <f>SUBTOTAL(3,_xlfn.SINGLE(tbl_file[RowId]))</f>
        <v>1</v>
      </c>
    </row>
    <row r="1785" spans="10:18">
      <c r="J1785" s="4">
        <v>2485</v>
      </c>
      <c r="K1785" s="21" t="str">
        <f t="shared" si="64"/>
        <v>peepsTemplate</v>
      </c>
      <c r="L1785" s="20" t="s">
        <v>175</v>
      </c>
      <c r="M1785" s="4"/>
      <c r="N1785" s="2" t="s">
        <v>81</v>
      </c>
      <c r="O1785" s="2" t="s">
        <v>3199</v>
      </c>
      <c r="P1785" s="4">
        <v>1</v>
      </c>
      <c r="Q1785" s="2" t="s">
        <v>2634</v>
      </c>
      <c r="R1785" s="11">
        <f>SUBTOTAL(3,_xlfn.SINGLE(tbl_file[RowId]))</f>
        <v>1</v>
      </c>
    </row>
    <row r="1786" spans="10:18">
      <c r="J1786" s="4">
        <v>2486</v>
      </c>
      <c r="K1786" s="21" t="str">
        <f t="shared" si="64"/>
        <v>peepsTemplate</v>
      </c>
      <c r="L1786" s="20" t="s">
        <v>175</v>
      </c>
      <c r="M1786" s="4"/>
      <c r="N1786" s="2" t="s">
        <v>84</v>
      </c>
      <c r="O1786" s="2" t="s">
        <v>3200</v>
      </c>
      <c r="P1786" s="4">
        <v>1</v>
      </c>
      <c r="Q1786" s="2" t="s">
        <v>2634</v>
      </c>
      <c r="R1786" s="11">
        <f>SUBTOTAL(3,_xlfn.SINGLE(tbl_file[RowId]))</f>
        <v>1</v>
      </c>
    </row>
    <row r="1787" spans="10:18">
      <c r="J1787" s="4">
        <v>2487</v>
      </c>
      <c r="K1787" s="21" t="str">
        <f t="shared" si="64"/>
        <v>peepsTemplate</v>
      </c>
      <c r="L1787" s="20" t="s">
        <v>175</v>
      </c>
      <c r="M1787" s="4"/>
      <c r="N1787" s="2" t="s">
        <v>85</v>
      </c>
      <c r="O1787" s="2" t="s">
        <v>3201</v>
      </c>
      <c r="P1787" s="4">
        <v>1</v>
      </c>
      <c r="Q1787" s="2" t="s">
        <v>2634</v>
      </c>
      <c r="R1787" s="11">
        <f>SUBTOTAL(3,_xlfn.SINGLE(tbl_file[RowId]))</f>
        <v>1</v>
      </c>
    </row>
    <row r="1788" spans="10:18">
      <c r="J1788" s="4">
        <v>2488</v>
      </c>
      <c r="K1788" s="21" t="str">
        <f t="shared" si="64"/>
        <v>peepsTemplate</v>
      </c>
      <c r="L1788" s="20" t="s">
        <v>175</v>
      </c>
      <c r="M1788" s="4"/>
      <c r="N1788" s="2" t="s">
        <v>86</v>
      </c>
      <c r="O1788" s="2" t="s">
        <v>3202</v>
      </c>
      <c r="P1788" s="4">
        <v>1</v>
      </c>
      <c r="Q1788" s="2" t="s">
        <v>2634</v>
      </c>
      <c r="R1788" s="11">
        <f>SUBTOTAL(3,_xlfn.SINGLE(tbl_file[RowId]))</f>
        <v>1</v>
      </c>
    </row>
    <row r="1789" spans="10:18">
      <c r="J1789" s="4">
        <v>2489</v>
      </c>
      <c r="K1789" s="21" t="str">
        <f t="shared" si="64"/>
        <v>peepsTemplate</v>
      </c>
      <c r="L1789" s="20" t="s">
        <v>175</v>
      </c>
      <c r="M1789" s="4"/>
      <c r="N1789" s="2" t="s">
        <v>88</v>
      </c>
      <c r="O1789" s="2" t="s">
        <v>3203</v>
      </c>
      <c r="P1789" s="4">
        <v>1</v>
      </c>
      <c r="Q1789" s="2" t="s">
        <v>2634</v>
      </c>
      <c r="R1789" s="11">
        <f>SUBTOTAL(3,_xlfn.SINGLE(tbl_file[RowId]))</f>
        <v>1</v>
      </c>
    </row>
    <row r="1790" spans="10:18">
      <c r="J1790" s="4">
        <v>2490</v>
      </c>
      <c r="K1790" s="21" t="str">
        <f t="shared" si="64"/>
        <v>peepsTemplate</v>
      </c>
      <c r="L1790" s="20" t="s">
        <v>175</v>
      </c>
      <c r="M1790" s="4"/>
      <c r="N1790" s="2" t="s">
        <v>93</v>
      </c>
      <c r="O1790" s="2" t="s">
        <v>3204</v>
      </c>
      <c r="P1790" s="4">
        <v>1</v>
      </c>
      <c r="Q1790" s="2" t="s">
        <v>2634</v>
      </c>
      <c r="R1790" s="11">
        <f>SUBTOTAL(3,_xlfn.SINGLE(tbl_file[RowId]))</f>
        <v>1</v>
      </c>
    </row>
    <row r="1791" spans="10:18">
      <c r="J1791" s="4">
        <v>2491</v>
      </c>
      <c r="K1791" s="21" t="str">
        <f t="shared" si="64"/>
        <v>peepsTemplate</v>
      </c>
      <c r="L1791" s="20" t="s">
        <v>175</v>
      </c>
      <c r="M1791" s="4"/>
      <c r="N1791" s="2" t="s">
        <v>94</v>
      </c>
      <c r="O1791" s="2" t="s">
        <v>3205</v>
      </c>
      <c r="P1791" s="4">
        <v>1</v>
      </c>
      <c r="Q1791" s="2" t="s">
        <v>1761</v>
      </c>
      <c r="R1791" s="11">
        <f>SUBTOTAL(3,_xlfn.SINGLE(tbl_file[RowId]))</f>
        <v>1</v>
      </c>
    </row>
    <row r="1792" spans="10:18">
      <c r="J1792" s="4">
        <v>2492</v>
      </c>
      <c r="K1792" s="21" t="str">
        <f t="shared" si="64"/>
        <v>peepsTemplate</v>
      </c>
      <c r="L1792" s="20" t="s">
        <v>175</v>
      </c>
      <c r="M1792" s="4"/>
      <c r="N1792" s="2" t="s">
        <v>96</v>
      </c>
      <c r="O1792" s="2" t="s">
        <v>3206</v>
      </c>
      <c r="P1792" s="4">
        <v>1</v>
      </c>
      <c r="Q1792" s="2" t="s">
        <v>2634</v>
      </c>
      <c r="R1792" s="11">
        <f>SUBTOTAL(3,_xlfn.SINGLE(tbl_file[RowId]))</f>
        <v>1</v>
      </c>
    </row>
    <row r="1793" spans="10:18">
      <c r="J1793" s="4">
        <v>2493</v>
      </c>
      <c r="K1793" s="21" t="str">
        <f t="shared" si="64"/>
        <v>peepsTemplate</v>
      </c>
      <c r="L1793" s="20" t="s">
        <v>175</v>
      </c>
      <c r="M1793" s="4"/>
      <c r="N1793" s="2" t="s">
        <v>97</v>
      </c>
      <c r="O1793" s="2" t="s">
        <v>3207</v>
      </c>
      <c r="P1793" s="4">
        <v>1</v>
      </c>
      <c r="Q1793" s="2" t="s">
        <v>2634</v>
      </c>
      <c r="R1793" s="11">
        <f>SUBTOTAL(3,_xlfn.SINGLE(tbl_file[RowId]))</f>
        <v>1</v>
      </c>
    </row>
    <row r="1794" spans="10:18">
      <c r="J1794" s="4">
        <v>2494</v>
      </c>
      <c r="K1794" s="21" t="str">
        <f t="shared" si="64"/>
        <v>peepsTemplate</v>
      </c>
      <c r="L1794" s="20" t="s">
        <v>175</v>
      </c>
      <c r="M1794" s="4"/>
      <c r="N1794" s="2" t="s">
        <v>98</v>
      </c>
      <c r="O1794" s="2" t="s">
        <v>3208</v>
      </c>
      <c r="P1794" s="4">
        <v>1</v>
      </c>
      <c r="Q1794" s="2" t="s">
        <v>2634</v>
      </c>
      <c r="R1794" s="11">
        <f>SUBTOTAL(3,_xlfn.SINGLE(tbl_file[RowId]))</f>
        <v>1</v>
      </c>
    </row>
    <row r="1795" spans="10:18">
      <c r="J1795" s="4">
        <v>2495</v>
      </c>
      <c r="K1795" s="21" t="str">
        <f t="shared" si="64"/>
        <v>peepsTemplate</v>
      </c>
      <c r="L1795" s="20" t="s">
        <v>175</v>
      </c>
      <c r="M1795" s="4"/>
      <c r="N1795" s="2" t="s">
        <v>99</v>
      </c>
      <c r="O1795" s="2" t="s">
        <v>3209</v>
      </c>
      <c r="P1795" s="4">
        <v>1</v>
      </c>
      <c r="Q1795" s="2" t="s">
        <v>2634</v>
      </c>
      <c r="R1795" s="11">
        <f>SUBTOTAL(3,_xlfn.SINGLE(tbl_file[RowId]))</f>
        <v>1</v>
      </c>
    </row>
    <row r="1796" spans="10:18">
      <c r="J1796" s="4">
        <v>2496</v>
      </c>
      <c r="K1796" s="21" t="str">
        <f t="shared" si="64"/>
        <v>peepsTemplate</v>
      </c>
      <c r="L1796" s="20" t="s">
        <v>175</v>
      </c>
      <c r="M1796" s="4"/>
      <c r="N1796" s="2" t="s">
        <v>100</v>
      </c>
      <c r="O1796" s="2" t="s">
        <v>3210</v>
      </c>
      <c r="P1796" s="4">
        <v>1</v>
      </c>
      <c r="Q1796" s="2" t="s">
        <v>2634</v>
      </c>
      <c r="R1796" s="11">
        <f>SUBTOTAL(3,_xlfn.SINGLE(tbl_file[RowId]))</f>
        <v>1</v>
      </c>
    </row>
    <row r="1797" spans="10:18">
      <c r="J1797" s="4">
        <v>2497</v>
      </c>
      <c r="K1797" s="21" t="str">
        <f t="shared" si="64"/>
        <v>peepsTemplate</v>
      </c>
      <c r="L1797" s="20" t="s">
        <v>175</v>
      </c>
      <c r="M1797" s="4"/>
      <c r="N1797" s="2" t="s">
        <v>102</v>
      </c>
      <c r="O1797" s="2" t="s">
        <v>3211</v>
      </c>
      <c r="P1797" s="4">
        <v>1</v>
      </c>
      <c r="Q1797" s="2" t="s">
        <v>2634</v>
      </c>
      <c r="R1797" s="11">
        <f>SUBTOTAL(3,_xlfn.SINGLE(tbl_file[RowId]))</f>
        <v>1</v>
      </c>
    </row>
    <row r="1798" spans="10:18">
      <c r="J1798" s="4">
        <v>2498</v>
      </c>
      <c r="K1798" s="21" t="str">
        <f t="shared" si="64"/>
        <v>peepsTemplate</v>
      </c>
      <c r="L1798" s="20" t="s">
        <v>175</v>
      </c>
      <c r="M1798" s="4"/>
      <c r="N1798" s="2" t="s">
        <v>103</v>
      </c>
      <c r="O1798" s="2" t="s">
        <v>3212</v>
      </c>
      <c r="P1798" s="4">
        <v>1</v>
      </c>
      <c r="Q1798" s="2" t="s">
        <v>2634</v>
      </c>
      <c r="R1798" s="11">
        <f>SUBTOTAL(3,_xlfn.SINGLE(tbl_file[RowId]))</f>
        <v>1</v>
      </c>
    </row>
    <row r="1799" spans="10:18">
      <c r="J1799" s="4">
        <v>2499</v>
      </c>
      <c r="K1799" s="21" t="str">
        <f t="shared" si="64"/>
        <v>peepsTemplate</v>
      </c>
      <c r="L1799" s="20" t="s">
        <v>175</v>
      </c>
      <c r="M1799" s="4"/>
      <c r="N1799" s="2" t="s">
        <v>104</v>
      </c>
      <c r="O1799" s="2" t="s">
        <v>3213</v>
      </c>
      <c r="P1799" s="4">
        <v>1</v>
      </c>
      <c r="Q1799" s="2" t="s">
        <v>1772</v>
      </c>
      <c r="R1799" s="11">
        <f>SUBTOTAL(3,_xlfn.SINGLE(tbl_file[RowId]))</f>
        <v>1</v>
      </c>
    </row>
    <row r="1800" spans="10:18">
      <c r="J1800" s="4">
        <v>2500</v>
      </c>
      <c r="K1800" s="21" t="str">
        <f t="shared" si="64"/>
        <v>peepsTemplate</v>
      </c>
      <c r="L1800" s="20" t="s">
        <v>175</v>
      </c>
      <c r="M1800" s="4"/>
      <c r="N1800" s="2" t="s">
        <v>105</v>
      </c>
      <c r="O1800" s="2" t="s">
        <v>3214</v>
      </c>
      <c r="P1800" s="4">
        <v>1</v>
      </c>
      <c r="Q1800" s="2" t="s">
        <v>1774</v>
      </c>
      <c r="R1800" s="11">
        <f>SUBTOTAL(3,_xlfn.SINGLE(tbl_file[RowId]))</f>
        <v>1</v>
      </c>
    </row>
    <row r="1801" spans="10:18">
      <c r="J1801" s="4">
        <v>2501</v>
      </c>
      <c r="K1801" s="21" t="str">
        <f t="shared" si="64"/>
        <v>peepsTemplate</v>
      </c>
      <c r="L1801" s="20" t="s">
        <v>175</v>
      </c>
      <c r="M1801" s="4"/>
      <c r="N1801" s="2" t="s">
        <v>106</v>
      </c>
      <c r="O1801" s="2" t="s">
        <v>3215</v>
      </c>
      <c r="P1801" s="4">
        <v>1</v>
      </c>
      <c r="Q1801" s="2" t="s">
        <v>1776</v>
      </c>
      <c r="R1801" s="11">
        <f>SUBTOTAL(3,_xlfn.SINGLE(tbl_file[RowId]))</f>
        <v>1</v>
      </c>
    </row>
    <row r="1802" spans="10:18">
      <c r="J1802" s="4">
        <v>2502</v>
      </c>
      <c r="K1802" s="21" t="str">
        <f t="shared" si="64"/>
        <v>peepsTemplate</v>
      </c>
      <c r="L1802" s="20" t="s">
        <v>175</v>
      </c>
      <c r="M1802" s="4"/>
      <c r="N1802" s="2" t="s">
        <v>107</v>
      </c>
      <c r="O1802" s="2" t="s">
        <v>3216</v>
      </c>
      <c r="P1802" s="4">
        <v>1</v>
      </c>
      <c r="Q1802" s="2" t="s">
        <v>2634</v>
      </c>
      <c r="R1802" s="11">
        <f>SUBTOTAL(3,_xlfn.SINGLE(tbl_file[RowId]))</f>
        <v>1</v>
      </c>
    </row>
    <row r="1803" spans="10:18">
      <c r="J1803" s="4">
        <v>2503</v>
      </c>
      <c r="K1803" s="21" t="str">
        <f t="shared" si="64"/>
        <v>peepsTemplate</v>
      </c>
      <c r="L1803" s="20" t="s">
        <v>175</v>
      </c>
      <c r="M1803" s="4"/>
      <c r="N1803" s="2" t="s">
        <v>109</v>
      </c>
      <c r="O1803" s="2" t="s">
        <v>3217</v>
      </c>
      <c r="P1803" s="4">
        <v>1</v>
      </c>
      <c r="Q1803" s="2" t="s">
        <v>2634</v>
      </c>
      <c r="R1803" s="11">
        <f>SUBTOTAL(3,_xlfn.SINGLE(tbl_file[RowId]))</f>
        <v>1</v>
      </c>
    </row>
    <row r="1804" spans="10:18">
      <c r="J1804" s="4">
        <v>2504</v>
      </c>
      <c r="K1804" s="21" t="str">
        <f t="shared" si="64"/>
        <v>peepsTemplate</v>
      </c>
      <c r="L1804" s="20" t="s">
        <v>175</v>
      </c>
      <c r="M1804" s="4"/>
      <c r="N1804" s="2" t="s">
        <v>111</v>
      </c>
      <c r="O1804" s="2" t="s">
        <v>3218</v>
      </c>
      <c r="P1804" s="4">
        <v>1</v>
      </c>
      <c r="Q1804" s="2" t="s">
        <v>1782</v>
      </c>
      <c r="R1804" s="11">
        <f>SUBTOTAL(3,_xlfn.SINGLE(tbl_file[RowId]))</f>
        <v>1</v>
      </c>
    </row>
    <row r="1805" spans="10:18">
      <c r="J1805" s="4">
        <v>2505</v>
      </c>
      <c r="K1805" s="21" t="str">
        <f t="shared" si="64"/>
        <v>peepsTemplate</v>
      </c>
      <c r="L1805" s="20" t="s">
        <v>175</v>
      </c>
      <c r="M1805" s="4"/>
      <c r="N1805" s="2" t="s">
        <v>2606</v>
      </c>
      <c r="O1805" s="2"/>
      <c r="P1805" s="4">
        <v>2</v>
      </c>
      <c r="Q1805" s="2" t="s">
        <v>3219</v>
      </c>
      <c r="R1805" s="11">
        <f>SUBTOTAL(3,_xlfn.SINGLE(tbl_file[RowId]))</f>
        <v>1</v>
      </c>
    </row>
    <row r="1806" spans="10:18">
      <c r="J1806" s="4">
        <v>2506</v>
      </c>
      <c r="K1806" s="21" t="str">
        <f t="shared" si="64"/>
        <v>peepsTemplate</v>
      </c>
      <c r="L1806" s="20" t="s">
        <v>175</v>
      </c>
      <c r="M1806" s="4"/>
      <c r="N1806" s="2" t="s">
        <v>133</v>
      </c>
      <c r="O1806" s="2" t="s">
        <v>2637</v>
      </c>
      <c r="P1806" s="4">
        <v>1</v>
      </c>
      <c r="Q1806" s="2" t="s">
        <v>2134</v>
      </c>
      <c r="R1806" s="11">
        <f>SUBTOTAL(3,_xlfn.SINGLE(tbl_file[RowId]))</f>
        <v>1</v>
      </c>
    </row>
    <row r="1807" spans="10:18">
      <c r="J1807" s="4">
        <v>2507</v>
      </c>
      <c r="K1807" s="21" t="str">
        <f t="shared" ref="K1807:K1838" si="65">HYPERLINK("obsidian://open?vault=o2&amp;file=peepsTemplatetest1.md","peepsTemplatetest1")</f>
        <v>peepsTemplatetest1</v>
      </c>
      <c r="L1807" s="20" t="s">
        <v>175</v>
      </c>
      <c r="M1807" s="4"/>
      <c r="N1807" s="2" t="s">
        <v>14</v>
      </c>
      <c r="O1807" s="2"/>
      <c r="P1807" s="4">
        <v>1</v>
      </c>
      <c r="Q1807" s="2" t="s">
        <v>344</v>
      </c>
      <c r="R1807" s="11">
        <f>SUBTOTAL(3,_xlfn.SINGLE(tbl_file[RowId]))</f>
        <v>1</v>
      </c>
    </row>
    <row r="1808" spans="10:18">
      <c r="J1808" s="4">
        <v>2508</v>
      </c>
      <c r="K1808" s="21" t="str">
        <f t="shared" si="65"/>
        <v>peepsTemplatetest1</v>
      </c>
      <c r="L1808" s="20" t="s">
        <v>175</v>
      </c>
      <c r="M1808" s="4"/>
      <c r="N1808" s="2" t="s">
        <v>41</v>
      </c>
      <c r="O1808" s="2" t="s">
        <v>3188</v>
      </c>
      <c r="P1808" s="4">
        <v>1</v>
      </c>
      <c r="Q1808" s="2" t="s">
        <v>599</v>
      </c>
      <c r="R1808" s="11">
        <f>SUBTOTAL(3,_xlfn.SINGLE(tbl_file[RowId]))</f>
        <v>1</v>
      </c>
    </row>
    <row r="1809" spans="10:18">
      <c r="J1809" s="4">
        <v>2509</v>
      </c>
      <c r="K1809" s="21" t="str">
        <f t="shared" si="65"/>
        <v>peepsTemplatetest1</v>
      </c>
      <c r="L1809" s="20" t="s">
        <v>175</v>
      </c>
      <c r="M1809" s="4"/>
      <c r="N1809" s="2" t="s">
        <v>50</v>
      </c>
      <c r="O1809" s="2" t="s">
        <v>2646</v>
      </c>
      <c r="P1809" s="4">
        <v>1</v>
      </c>
      <c r="Q1809" s="2" t="s">
        <v>1712</v>
      </c>
      <c r="R1809" s="11">
        <f>SUBTOTAL(3,_xlfn.SINGLE(tbl_file[RowId]))</f>
        <v>1</v>
      </c>
    </row>
    <row r="1810" spans="10:18">
      <c r="J1810" s="4">
        <v>2510</v>
      </c>
      <c r="K1810" s="21" t="str">
        <f t="shared" si="65"/>
        <v>peepsTemplatetest1</v>
      </c>
      <c r="L1810" s="20" t="s">
        <v>175</v>
      </c>
      <c r="M1810" s="4"/>
      <c r="N1810" s="2" t="s">
        <v>54</v>
      </c>
      <c r="O1810" s="2" t="s">
        <v>3220</v>
      </c>
      <c r="P1810" s="4">
        <v>1</v>
      </c>
      <c r="Q1810" s="2" t="s">
        <v>2634</v>
      </c>
      <c r="R1810" s="11">
        <f>SUBTOTAL(3,_xlfn.SINGLE(tbl_file[RowId]))</f>
        <v>1</v>
      </c>
    </row>
    <row r="1811" spans="10:18">
      <c r="J1811" s="4">
        <v>2511</v>
      </c>
      <c r="K1811" s="21" t="str">
        <f t="shared" si="65"/>
        <v>peepsTemplatetest1</v>
      </c>
      <c r="L1811" s="20" t="s">
        <v>175</v>
      </c>
      <c r="M1811" s="4"/>
      <c r="N1811" s="2" t="s">
        <v>55</v>
      </c>
      <c r="O1811" s="2" t="s">
        <v>3189</v>
      </c>
      <c r="P1811" s="4">
        <v>1</v>
      </c>
      <c r="Q1811" s="2" t="s">
        <v>2634</v>
      </c>
      <c r="R1811" s="11">
        <f>SUBTOTAL(3,_xlfn.SINGLE(tbl_file[RowId]))</f>
        <v>1</v>
      </c>
    </row>
    <row r="1812" spans="10:18">
      <c r="J1812" s="4">
        <v>2512</v>
      </c>
      <c r="K1812" s="21" t="str">
        <f t="shared" si="65"/>
        <v>peepsTemplatetest1</v>
      </c>
      <c r="L1812" s="20" t="s">
        <v>175</v>
      </c>
      <c r="M1812" s="4"/>
      <c r="N1812" s="2" t="s">
        <v>56</v>
      </c>
      <c r="O1812" s="2" t="s">
        <v>3190</v>
      </c>
      <c r="P1812" s="4">
        <v>1</v>
      </c>
      <c r="Q1812" s="2" t="s">
        <v>2634</v>
      </c>
      <c r="R1812" s="11">
        <f>SUBTOTAL(3,_xlfn.SINGLE(tbl_file[RowId]))</f>
        <v>1</v>
      </c>
    </row>
    <row r="1813" spans="10:18">
      <c r="J1813" s="4">
        <v>2513</v>
      </c>
      <c r="K1813" s="21" t="str">
        <f t="shared" si="65"/>
        <v>peepsTemplatetest1</v>
      </c>
      <c r="L1813" s="20" t="s">
        <v>175</v>
      </c>
      <c r="M1813" s="4"/>
      <c r="N1813" s="2" t="s">
        <v>57</v>
      </c>
      <c r="O1813" s="2" t="s">
        <v>3191</v>
      </c>
      <c r="P1813" s="4">
        <v>1</v>
      </c>
      <c r="Q1813" s="2" t="s">
        <v>2634</v>
      </c>
      <c r="R1813" s="11">
        <f>SUBTOTAL(3,_xlfn.SINGLE(tbl_file[RowId]))</f>
        <v>1</v>
      </c>
    </row>
    <row r="1814" spans="10:18">
      <c r="J1814" s="4">
        <v>2514</v>
      </c>
      <c r="K1814" s="21" t="str">
        <f t="shared" si="65"/>
        <v>peepsTemplatetest1</v>
      </c>
      <c r="L1814" s="20" t="s">
        <v>175</v>
      </c>
      <c r="M1814" s="4"/>
      <c r="N1814" s="2" t="s">
        <v>58</v>
      </c>
      <c r="O1814" s="2" t="s">
        <v>3192</v>
      </c>
      <c r="P1814" s="4">
        <v>1</v>
      </c>
      <c r="Q1814" s="2" t="s">
        <v>2634</v>
      </c>
      <c r="R1814" s="11">
        <f>SUBTOTAL(3,_xlfn.SINGLE(tbl_file[RowId]))</f>
        <v>1</v>
      </c>
    </row>
    <row r="1815" spans="10:18">
      <c r="J1815" s="4">
        <v>2515</v>
      </c>
      <c r="K1815" s="21" t="str">
        <f t="shared" si="65"/>
        <v>peepsTemplatetest1</v>
      </c>
      <c r="L1815" s="20" t="s">
        <v>175</v>
      </c>
      <c r="M1815" s="4"/>
      <c r="N1815" s="2" t="s">
        <v>59</v>
      </c>
      <c r="O1815" s="2" t="s">
        <v>3193</v>
      </c>
      <c r="P1815" s="4">
        <v>1</v>
      </c>
      <c r="Q1815" s="2" t="s">
        <v>2634</v>
      </c>
      <c r="R1815" s="11">
        <f>SUBTOTAL(3,_xlfn.SINGLE(tbl_file[RowId]))</f>
        <v>1</v>
      </c>
    </row>
    <row r="1816" spans="10:18">
      <c r="J1816" s="4">
        <v>2516</v>
      </c>
      <c r="K1816" s="21" t="str">
        <f t="shared" si="65"/>
        <v>peepsTemplatetest1</v>
      </c>
      <c r="L1816" s="20" t="s">
        <v>175</v>
      </c>
      <c r="M1816" s="4"/>
      <c r="N1816" s="2" t="s">
        <v>60</v>
      </c>
      <c r="O1816" s="2" t="s">
        <v>3221</v>
      </c>
      <c r="P1816" s="4">
        <v>1</v>
      </c>
      <c r="Q1816" s="2" t="s">
        <v>2634</v>
      </c>
      <c r="R1816" s="11">
        <f>SUBTOTAL(3,_xlfn.SINGLE(tbl_file[RowId]))</f>
        <v>1</v>
      </c>
    </row>
    <row r="1817" spans="10:18">
      <c r="J1817" s="4">
        <v>2517</v>
      </c>
      <c r="K1817" s="21" t="str">
        <f t="shared" si="65"/>
        <v>peepsTemplatetest1</v>
      </c>
      <c r="L1817" s="20" t="s">
        <v>175</v>
      </c>
      <c r="M1817" s="4"/>
      <c r="N1817" s="2" t="s">
        <v>61</v>
      </c>
      <c r="O1817" s="2" t="s">
        <v>3194</v>
      </c>
      <c r="P1817" s="4">
        <v>1</v>
      </c>
      <c r="Q1817" s="2" t="s">
        <v>2634</v>
      </c>
      <c r="R1817" s="11">
        <f>SUBTOTAL(3,_xlfn.SINGLE(tbl_file[RowId]))</f>
        <v>1</v>
      </c>
    </row>
    <row r="1818" spans="10:18">
      <c r="J1818" s="4">
        <v>2518</v>
      </c>
      <c r="K1818" s="21" t="str">
        <f t="shared" si="65"/>
        <v>peepsTemplatetest1</v>
      </c>
      <c r="L1818" s="20" t="s">
        <v>175</v>
      </c>
      <c r="M1818" s="4"/>
      <c r="N1818" s="2" t="s">
        <v>62</v>
      </c>
      <c r="O1818" s="2" t="s">
        <v>3195</v>
      </c>
      <c r="P1818" s="4">
        <v>1</v>
      </c>
      <c r="Q1818" s="2" t="s">
        <v>2634</v>
      </c>
      <c r="R1818" s="11">
        <f>SUBTOTAL(3,_xlfn.SINGLE(tbl_file[RowId]))</f>
        <v>1</v>
      </c>
    </row>
    <row r="1819" spans="10:18">
      <c r="J1819" s="4">
        <v>2519</v>
      </c>
      <c r="K1819" s="21" t="str">
        <f t="shared" si="65"/>
        <v>peepsTemplatetest1</v>
      </c>
      <c r="L1819" s="20" t="s">
        <v>175</v>
      </c>
      <c r="M1819" s="4"/>
      <c r="N1819" s="2" t="s">
        <v>63</v>
      </c>
      <c r="O1819" s="2" t="s">
        <v>3222</v>
      </c>
      <c r="P1819" s="4">
        <v>1</v>
      </c>
      <c r="Q1819" s="2" t="s">
        <v>2634</v>
      </c>
      <c r="R1819" s="11">
        <f>SUBTOTAL(3,_xlfn.SINGLE(tbl_file[RowId]))</f>
        <v>1</v>
      </c>
    </row>
    <row r="1820" spans="10:18">
      <c r="J1820" s="4">
        <v>2520</v>
      </c>
      <c r="K1820" s="21" t="str">
        <f t="shared" si="65"/>
        <v>peepsTemplatetest1</v>
      </c>
      <c r="L1820" s="20" t="s">
        <v>175</v>
      </c>
      <c r="M1820" s="4"/>
      <c r="N1820" s="2" t="s">
        <v>64</v>
      </c>
      <c r="O1820" s="2" t="s">
        <v>3196</v>
      </c>
      <c r="P1820" s="4">
        <v>1</v>
      </c>
      <c r="Q1820" s="2" t="s">
        <v>2634</v>
      </c>
      <c r="R1820" s="11">
        <f>SUBTOTAL(3,_xlfn.SINGLE(tbl_file[RowId]))</f>
        <v>1</v>
      </c>
    </row>
    <row r="1821" spans="10:18">
      <c r="J1821" s="4">
        <v>2521</v>
      </c>
      <c r="K1821" s="21" t="str">
        <f t="shared" si="65"/>
        <v>peepsTemplatetest1</v>
      </c>
      <c r="L1821" s="20" t="s">
        <v>175</v>
      </c>
      <c r="M1821" s="4"/>
      <c r="N1821" s="2" t="s">
        <v>65</v>
      </c>
      <c r="O1821" s="2" t="s">
        <v>3223</v>
      </c>
      <c r="P1821" s="4">
        <v>1</v>
      </c>
      <c r="Q1821" s="2" t="s">
        <v>2634</v>
      </c>
      <c r="R1821" s="11">
        <f>SUBTOTAL(3,_xlfn.SINGLE(tbl_file[RowId]))</f>
        <v>1</v>
      </c>
    </row>
    <row r="1822" spans="10:18">
      <c r="J1822" s="4">
        <v>2522</v>
      </c>
      <c r="K1822" s="21" t="str">
        <f t="shared" si="65"/>
        <v>peepsTemplatetest1</v>
      </c>
      <c r="L1822" s="20" t="s">
        <v>175</v>
      </c>
      <c r="M1822" s="4"/>
      <c r="N1822" s="2" t="s">
        <v>66</v>
      </c>
      <c r="O1822" s="2" t="s">
        <v>3197</v>
      </c>
      <c r="P1822" s="4">
        <v>1</v>
      </c>
      <c r="Q1822" s="2" t="s">
        <v>2634</v>
      </c>
      <c r="R1822" s="11">
        <f>SUBTOTAL(3,_xlfn.SINGLE(tbl_file[RowId]))</f>
        <v>1</v>
      </c>
    </row>
    <row r="1823" spans="10:18">
      <c r="J1823" s="4">
        <v>2523</v>
      </c>
      <c r="K1823" s="21" t="str">
        <f t="shared" si="65"/>
        <v>peepsTemplatetest1</v>
      </c>
      <c r="L1823" s="20" t="s">
        <v>175</v>
      </c>
      <c r="M1823" s="4"/>
      <c r="N1823" s="2" t="s">
        <v>67</v>
      </c>
      <c r="O1823" s="2" t="s">
        <v>3224</v>
      </c>
      <c r="P1823" s="4">
        <v>1</v>
      </c>
      <c r="Q1823" s="2" t="s">
        <v>2634</v>
      </c>
      <c r="R1823" s="11">
        <f>SUBTOTAL(3,_xlfn.SINGLE(tbl_file[RowId]))</f>
        <v>1</v>
      </c>
    </row>
    <row r="1824" spans="10:18">
      <c r="J1824" s="4">
        <v>2524</v>
      </c>
      <c r="K1824" s="21" t="str">
        <f t="shared" si="65"/>
        <v>peepsTemplatetest1</v>
      </c>
      <c r="L1824" s="20" t="s">
        <v>175</v>
      </c>
      <c r="M1824" s="4"/>
      <c r="N1824" s="2" t="s">
        <v>68</v>
      </c>
      <c r="O1824" s="2" t="s">
        <v>3198</v>
      </c>
      <c r="P1824" s="4">
        <v>1</v>
      </c>
      <c r="Q1824" s="2" t="s">
        <v>2634</v>
      </c>
      <c r="R1824" s="11">
        <f>SUBTOTAL(3,_xlfn.SINGLE(tbl_file[RowId]))</f>
        <v>1</v>
      </c>
    </row>
    <row r="1825" spans="10:18">
      <c r="J1825" s="4">
        <v>2525</v>
      </c>
      <c r="K1825" s="21" t="str">
        <f t="shared" si="65"/>
        <v>peepsTemplatetest1</v>
      </c>
      <c r="L1825" s="20" t="s">
        <v>175</v>
      </c>
      <c r="M1825" s="4"/>
      <c r="N1825" s="2" t="s">
        <v>69</v>
      </c>
      <c r="O1825" s="2" t="s">
        <v>3225</v>
      </c>
      <c r="P1825" s="4">
        <v>1</v>
      </c>
      <c r="Q1825" s="2" t="s">
        <v>2634</v>
      </c>
      <c r="R1825" s="11">
        <f>SUBTOTAL(3,_xlfn.SINGLE(tbl_file[RowId]))</f>
        <v>1</v>
      </c>
    </row>
    <row r="1826" spans="10:18">
      <c r="J1826" s="4">
        <v>2526</v>
      </c>
      <c r="K1826" s="21" t="str">
        <f t="shared" si="65"/>
        <v>peepsTemplatetest1</v>
      </c>
      <c r="L1826" s="20" t="s">
        <v>175</v>
      </c>
      <c r="M1826" s="4"/>
      <c r="N1826" s="2" t="s">
        <v>70</v>
      </c>
      <c r="O1826" s="2" t="s">
        <v>3226</v>
      </c>
      <c r="P1826" s="4">
        <v>1</v>
      </c>
      <c r="Q1826" s="2" t="s">
        <v>2634</v>
      </c>
      <c r="R1826" s="11">
        <f>SUBTOTAL(3,_xlfn.SINGLE(tbl_file[RowId]))</f>
        <v>1</v>
      </c>
    </row>
    <row r="1827" spans="10:18">
      <c r="J1827" s="4">
        <v>2527</v>
      </c>
      <c r="K1827" s="21" t="str">
        <f t="shared" si="65"/>
        <v>peepsTemplatetest1</v>
      </c>
      <c r="L1827" s="20" t="s">
        <v>175</v>
      </c>
      <c r="M1827" s="4"/>
      <c r="N1827" s="2" t="s">
        <v>71</v>
      </c>
      <c r="O1827" s="2" t="s">
        <v>3227</v>
      </c>
      <c r="P1827" s="4">
        <v>1</v>
      </c>
      <c r="Q1827" s="2" t="s">
        <v>2852</v>
      </c>
      <c r="R1827" s="11">
        <f>SUBTOTAL(3,_xlfn.SINGLE(tbl_file[RowId]))</f>
        <v>1</v>
      </c>
    </row>
    <row r="1828" spans="10:18">
      <c r="J1828" s="4">
        <v>2528</v>
      </c>
      <c r="K1828" s="21" t="str">
        <f t="shared" si="65"/>
        <v>peepsTemplatetest1</v>
      </c>
      <c r="L1828" s="20" t="s">
        <v>175</v>
      </c>
      <c r="M1828" s="4"/>
      <c r="N1828" s="2" t="s">
        <v>72</v>
      </c>
      <c r="O1828" s="2" t="s">
        <v>3228</v>
      </c>
      <c r="P1828" s="4">
        <v>1</v>
      </c>
      <c r="Q1828" s="2" t="s">
        <v>2634</v>
      </c>
      <c r="R1828" s="11">
        <f>SUBTOTAL(3,_xlfn.SINGLE(tbl_file[RowId]))</f>
        <v>1</v>
      </c>
    </row>
    <row r="1829" spans="10:18">
      <c r="J1829" s="4">
        <v>2529</v>
      </c>
      <c r="K1829" s="21" t="str">
        <f t="shared" si="65"/>
        <v>peepsTemplatetest1</v>
      </c>
      <c r="L1829" s="20" t="s">
        <v>175</v>
      </c>
      <c r="M1829" s="4"/>
      <c r="N1829" s="2" t="s">
        <v>73</v>
      </c>
      <c r="O1829" s="2" t="s">
        <v>3229</v>
      </c>
      <c r="P1829" s="4">
        <v>1</v>
      </c>
      <c r="Q1829" s="2" t="s">
        <v>2634</v>
      </c>
      <c r="R1829" s="11">
        <f>SUBTOTAL(3,_xlfn.SINGLE(tbl_file[RowId]))</f>
        <v>1</v>
      </c>
    </row>
    <row r="1830" spans="10:18">
      <c r="J1830" s="4">
        <v>2530</v>
      </c>
      <c r="K1830" s="21" t="str">
        <f t="shared" si="65"/>
        <v>peepsTemplatetest1</v>
      </c>
      <c r="L1830" s="20" t="s">
        <v>175</v>
      </c>
      <c r="M1830" s="4"/>
      <c r="N1830" s="2" t="s">
        <v>74</v>
      </c>
      <c r="O1830" s="2" t="s">
        <v>3230</v>
      </c>
      <c r="P1830" s="4">
        <v>1</v>
      </c>
      <c r="Q1830" s="2" t="s">
        <v>2634</v>
      </c>
      <c r="R1830" s="11">
        <f>SUBTOTAL(3,_xlfn.SINGLE(tbl_file[RowId]))</f>
        <v>1</v>
      </c>
    </row>
    <row r="1831" spans="10:18">
      <c r="J1831" s="4">
        <v>2531</v>
      </c>
      <c r="K1831" s="21" t="str">
        <f t="shared" si="65"/>
        <v>peepsTemplatetest1</v>
      </c>
      <c r="L1831" s="20" t="s">
        <v>175</v>
      </c>
      <c r="M1831" s="4"/>
      <c r="N1831" s="2" t="s">
        <v>75</v>
      </c>
      <c r="O1831" s="2" t="s">
        <v>3231</v>
      </c>
      <c r="P1831" s="4">
        <v>1</v>
      </c>
      <c r="Q1831" s="2" t="s">
        <v>2634</v>
      </c>
      <c r="R1831" s="11">
        <f>SUBTOTAL(3,_xlfn.SINGLE(tbl_file[RowId]))</f>
        <v>1</v>
      </c>
    </row>
    <row r="1832" spans="10:18">
      <c r="J1832" s="4">
        <v>2532</v>
      </c>
      <c r="K1832" s="21" t="str">
        <f t="shared" si="65"/>
        <v>peepsTemplatetest1</v>
      </c>
      <c r="L1832" s="20" t="s">
        <v>175</v>
      </c>
      <c r="M1832" s="4"/>
      <c r="N1832" s="2" t="s">
        <v>76</v>
      </c>
      <c r="O1832" s="2" t="s">
        <v>3232</v>
      </c>
      <c r="P1832" s="4">
        <v>1</v>
      </c>
      <c r="Q1832" s="2" t="s">
        <v>2634</v>
      </c>
      <c r="R1832" s="11">
        <f>SUBTOTAL(3,_xlfn.SINGLE(tbl_file[RowId]))</f>
        <v>1</v>
      </c>
    </row>
    <row r="1833" spans="10:18">
      <c r="J1833" s="4">
        <v>2533</v>
      </c>
      <c r="K1833" s="21" t="str">
        <f t="shared" si="65"/>
        <v>peepsTemplatetest1</v>
      </c>
      <c r="L1833" s="20" t="s">
        <v>175</v>
      </c>
      <c r="M1833" s="4"/>
      <c r="N1833" s="2" t="s">
        <v>77</v>
      </c>
      <c r="O1833" s="2" t="s">
        <v>3233</v>
      </c>
      <c r="P1833" s="4">
        <v>1</v>
      </c>
      <c r="Q1833" s="2" t="s">
        <v>2634</v>
      </c>
      <c r="R1833" s="11">
        <f>SUBTOTAL(3,_xlfn.SINGLE(tbl_file[RowId]))</f>
        <v>1</v>
      </c>
    </row>
    <row r="1834" spans="10:18">
      <c r="J1834" s="4">
        <v>2534</v>
      </c>
      <c r="K1834" s="21" t="str">
        <f t="shared" si="65"/>
        <v>peepsTemplatetest1</v>
      </c>
      <c r="L1834" s="20" t="s">
        <v>175</v>
      </c>
      <c r="M1834" s="4"/>
      <c r="N1834" s="2" t="s">
        <v>78</v>
      </c>
      <c r="O1834" s="2" t="s">
        <v>3234</v>
      </c>
      <c r="P1834" s="4">
        <v>1</v>
      </c>
      <c r="Q1834" s="2" t="s">
        <v>2634</v>
      </c>
      <c r="R1834" s="11">
        <f>SUBTOTAL(3,_xlfn.SINGLE(tbl_file[RowId]))</f>
        <v>1</v>
      </c>
    </row>
    <row r="1835" spans="10:18">
      <c r="J1835" s="4">
        <v>2535</v>
      </c>
      <c r="K1835" s="21" t="str">
        <f t="shared" si="65"/>
        <v>peepsTemplatetest1</v>
      </c>
      <c r="L1835" s="20" t="s">
        <v>175</v>
      </c>
      <c r="M1835" s="4"/>
      <c r="N1835" s="2" t="s">
        <v>79</v>
      </c>
      <c r="O1835" s="2" t="s">
        <v>3235</v>
      </c>
      <c r="P1835" s="4">
        <v>1</v>
      </c>
      <c r="Q1835" s="2" t="s">
        <v>2634</v>
      </c>
      <c r="R1835" s="11">
        <f>SUBTOTAL(3,_xlfn.SINGLE(tbl_file[RowId]))</f>
        <v>1</v>
      </c>
    </row>
    <row r="1836" spans="10:18">
      <c r="J1836" s="4">
        <v>2536</v>
      </c>
      <c r="K1836" s="21" t="str">
        <f t="shared" si="65"/>
        <v>peepsTemplatetest1</v>
      </c>
      <c r="L1836" s="20" t="s">
        <v>175</v>
      </c>
      <c r="M1836" s="4"/>
      <c r="N1836" s="2" t="s">
        <v>80</v>
      </c>
      <c r="O1836" s="2" t="s">
        <v>3236</v>
      </c>
      <c r="P1836" s="4">
        <v>1</v>
      </c>
      <c r="Q1836" s="2" t="s">
        <v>2634</v>
      </c>
      <c r="R1836" s="11">
        <f>SUBTOTAL(3,_xlfn.SINGLE(tbl_file[RowId]))</f>
        <v>1</v>
      </c>
    </row>
    <row r="1837" spans="10:18">
      <c r="J1837" s="4">
        <v>2537</v>
      </c>
      <c r="K1837" s="21" t="str">
        <f t="shared" si="65"/>
        <v>peepsTemplatetest1</v>
      </c>
      <c r="L1837" s="20" t="s">
        <v>175</v>
      </c>
      <c r="M1837" s="4"/>
      <c r="N1837" s="2" t="s">
        <v>81</v>
      </c>
      <c r="O1837" s="2" t="s">
        <v>3199</v>
      </c>
      <c r="P1837" s="4">
        <v>1</v>
      </c>
      <c r="Q1837" s="2" t="s">
        <v>2634</v>
      </c>
      <c r="R1837" s="11">
        <f>SUBTOTAL(3,_xlfn.SINGLE(tbl_file[RowId]))</f>
        <v>1</v>
      </c>
    </row>
    <row r="1838" spans="10:18">
      <c r="J1838" s="4">
        <v>2538</v>
      </c>
      <c r="K1838" s="21" t="str">
        <f t="shared" si="65"/>
        <v>peepsTemplatetest1</v>
      </c>
      <c r="L1838" s="20" t="s">
        <v>175</v>
      </c>
      <c r="M1838" s="4"/>
      <c r="N1838" s="2" t="s">
        <v>82</v>
      </c>
      <c r="O1838" s="2" t="s">
        <v>3237</v>
      </c>
      <c r="P1838" s="4">
        <v>1</v>
      </c>
      <c r="Q1838" s="2" t="s">
        <v>2634</v>
      </c>
      <c r="R1838" s="11">
        <f>SUBTOTAL(3,_xlfn.SINGLE(tbl_file[RowId]))</f>
        <v>1</v>
      </c>
    </row>
    <row r="1839" spans="10:18">
      <c r="J1839" s="4">
        <v>2539</v>
      </c>
      <c r="K1839" s="21" t="str">
        <f t="shared" ref="K1839:K1870" si="66">HYPERLINK("obsidian://open?vault=o2&amp;file=peepsTemplatetest1.md","peepsTemplatetest1")</f>
        <v>peepsTemplatetest1</v>
      </c>
      <c r="L1839" s="20" t="s">
        <v>175</v>
      </c>
      <c r="M1839" s="4"/>
      <c r="N1839" s="2" t="s">
        <v>83</v>
      </c>
      <c r="O1839" s="2" t="s">
        <v>3238</v>
      </c>
      <c r="P1839" s="4">
        <v>1</v>
      </c>
      <c r="Q1839" s="2" t="s">
        <v>2634</v>
      </c>
      <c r="R1839" s="11">
        <f>SUBTOTAL(3,_xlfn.SINGLE(tbl_file[RowId]))</f>
        <v>1</v>
      </c>
    </row>
    <row r="1840" spans="10:18">
      <c r="J1840" s="4">
        <v>2540</v>
      </c>
      <c r="K1840" s="21" t="str">
        <f t="shared" si="66"/>
        <v>peepsTemplatetest1</v>
      </c>
      <c r="L1840" s="20" t="s">
        <v>175</v>
      </c>
      <c r="M1840" s="4"/>
      <c r="N1840" s="2" t="s">
        <v>84</v>
      </c>
      <c r="O1840" s="2" t="s">
        <v>3200</v>
      </c>
      <c r="P1840" s="4">
        <v>1</v>
      </c>
      <c r="Q1840" s="2" t="s">
        <v>2634</v>
      </c>
      <c r="R1840" s="11">
        <f>SUBTOTAL(3,_xlfn.SINGLE(tbl_file[RowId]))</f>
        <v>1</v>
      </c>
    </row>
    <row r="1841" spans="10:18">
      <c r="J1841" s="4">
        <v>2541</v>
      </c>
      <c r="K1841" s="21" t="str">
        <f t="shared" si="66"/>
        <v>peepsTemplatetest1</v>
      </c>
      <c r="L1841" s="20" t="s">
        <v>175</v>
      </c>
      <c r="M1841" s="4"/>
      <c r="N1841" s="2" t="s">
        <v>87</v>
      </c>
      <c r="O1841" s="2" t="s">
        <v>3239</v>
      </c>
      <c r="P1841" s="4">
        <v>1</v>
      </c>
      <c r="Q1841" s="2" t="s">
        <v>2634</v>
      </c>
      <c r="R1841" s="11">
        <f>SUBTOTAL(3,_xlfn.SINGLE(tbl_file[RowId]))</f>
        <v>1</v>
      </c>
    </row>
    <row r="1842" spans="10:18">
      <c r="J1842" s="4">
        <v>2542</v>
      </c>
      <c r="K1842" s="21" t="str">
        <f t="shared" si="66"/>
        <v>peepsTemplatetest1</v>
      </c>
      <c r="L1842" s="20" t="s">
        <v>175</v>
      </c>
      <c r="M1842" s="4"/>
      <c r="N1842" s="2" t="s">
        <v>89</v>
      </c>
      <c r="O1842" s="2" t="s">
        <v>3240</v>
      </c>
      <c r="P1842" s="4">
        <v>1</v>
      </c>
      <c r="Q1842" s="2" t="s">
        <v>2634</v>
      </c>
      <c r="R1842" s="11">
        <f>SUBTOTAL(3,_xlfn.SINGLE(tbl_file[RowId]))</f>
        <v>1</v>
      </c>
    </row>
    <row r="1843" spans="10:18">
      <c r="J1843" s="4">
        <v>2543</v>
      </c>
      <c r="K1843" s="21" t="str">
        <f t="shared" si="66"/>
        <v>peepsTemplatetest1</v>
      </c>
      <c r="L1843" s="20" t="s">
        <v>175</v>
      </c>
      <c r="M1843" s="4"/>
      <c r="N1843" s="2" t="s">
        <v>90</v>
      </c>
      <c r="O1843" s="2" t="s">
        <v>3241</v>
      </c>
      <c r="P1843" s="4">
        <v>1</v>
      </c>
      <c r="Q1843" s="2" t="s">
        <v>2634</v>
      </c>
      <c r="R1843" s="11">
        <f>SUBTOTAL(3,_xlfn.SINGLE(tbl_file[RowId]))</f>
        <v>1</v>
      </c>
    </row>
    <row r="1844" spans="10:18">
      <c r="J1844" s="4">
        <v>2544</v>
      </c>
      <c r="K1844" s="21" t="str">
        <f t="shared" si="66"/>
        <v>peepsTemplatetest1</v>
      </c>
      <c r="L1844" s="20" t="s">
        <v>175</v>
      </c>
      <c r="M1844" s="4"/>
      <c r="N1844" s="2" t="s">
        <v>91</v>
      </c>
      <c r="O1844" s="2" t="s">
        <v>3242</v>
      </c>
      <c r="P1844" s="4">
        <v>1</v>
      </c>
      <c r="Q1844" s="2" t="s">
        <v>2634</v>
      </c>
      <c r="R1844" s="11">
        <f>SUBTOTAL(3,_xlfn.SINGLE(tbl_file[RowId]))</f>
        <v>1</v>
      </c>
    </row>
    <row r="1845" spans="10:18">
      <c r="J1845" s="4">
        <v>2545</v>
      </c>
      <c r="K1845" s="21" t="str">
        <f t="shared" si="66"/>
        <v>peepsTemplatetest1</v>
      </c>
      <c r="L1845" s="20" t="s">
        <v>175</v>
      </c>
      <c r="M1845" s="4"/>
      <c r="N1845" s="2" t="s">
        <v>92</v>
      </c>
      <c r="O1845" s="2" t="s">
        <v>3243</v>
      </c>
      <c r="P1845" s="4">
        <v>1</v>
      </c>
      <c r="Q1845" s="2" t="s">
        <v>2634</v>
      </c>
      <c r="R1845" s="11">
        <f>SUBTOTAL(3,_xlfn.SINGLE(tbl_file[RowId]))</f>
        <v>1</v>
      </c>
    </row>
    <row r="1846" spans="10:18">
      <c r="J1846" s="4">
        <v>2546</v>
      </c>
      <c r="K1846" s="21" t="str">
        <f t="shared" si="66"/>
        <v>peepsTemplatetest1</v>
      </c>
      <c r="L1846" s="20" t="s">
        <v>175</v>
      </c>
      <c r="M1846" s="4"/>
      <c r="N1846" s="2" t="s">
        <v>93</v>
      </c>
      <c r="O1846" s="2" t="s">
        <v>3204</v>
      </c>
      <c r="P1846" s="4">
        <v>1</v>
      </c>
      <c r="Q1846" s="2" t="s">
        <v>2634</v>
      </c>
      <c r="R1846" s="11">
        <f>SUBTOTAL(3,_xlfn.SINGLE(tbl_file[RowId]))</f>
        <v>1</v>
      </c>
    </row>
    <row r="1847" spans="10:18">
      <c r="J1847" s="4">
        <v>2547</v>
      </c>
      <c r="K1847" s="21" t="str">
        <f t="shared" si="66"/>
        <v>peepsTemplatetest1</v>
      </c>
      <c r="L1847" s="20" t="s">
        <v>175</v>
      </c>
      <c r="M1847" s="4"/>
      <c r="N1847" s="2" t="s">
        <v>94</v>
      </c>
      <c r="O1847" s="2" t="s">
        <v>3205</v>
      </c>
      <c r="P1847" s="4">
        <v>1</v>
      </c>
      <c r="Q1847" s="2" t="s">
        <v>1759</v>
      </c>
      <c r="R1847" s="11">
        <f>SUBTOTAL(3,_xlfn.SINGLE(tbl_file[RowId]))</f>
        <v>1</v>
      </c>
    </row>
    <row r="1848" spans="10:18">
      <c r="J1848" s="4">
        <v>2548</v>
      </c>
      <c r="K1848" s="21" t="str">
        <f t="shared" si="66"/>
        <v>peepsTemplatetest1</v>
      </c>
      <c r="L1848" s="20" t="s">
        <v>175</v>
      </c>
      <c r="M1848" s="4"/>
      <c r="N1848" s="2" t="s">
        <v>95</v>
      </c>
      <c r="O1848" s="2" t="s">
        <v>3244</v>
      </c>
      <c r="P1848" s="4">
        <v>1</v>
      </c>
      <c r="Q1848" s="2" t="s">
        <v>2634</v>
      </c>
      <c r="R1848" s="11">
        <f>SUBTOTAL(3,_xlfn.SINGLE(tbl_file[RowId]))</f>
        <v>1</v>
      </c>
    </row>
    <row r="1849" spans="10:18">
      <c r="J1849" s="4">
        <v>2549</v>
      </c>
      <c r="K1849" s="21" t="str">
        <f t="shared" si="66"/>
        <v>peepsTemplatetest1</v>
      </c>
      <c r="L1849" s="20" t="s">
        <v>175</v>
      </c>
      <c r="M1849" s="4"/>
      <c r="N1849" s="2" t="s">
        <v>96</v>
      </c>
      <c r="O1849" s="2" t="s">
        <v>3206</v>
      </c>
      <c r="P1849" s="4">
        <v>1</v>
      </c>
      <c r="Q1849" s="2" t="s">
        <v>2634</v>
      </c>
      <c r="R1849" s="11">
        <f>SUBTOTAL(3,_xlfn.SINGLE(tbl_file[RowId]))</f>
        <v>1</v>
      </c>
    </row>
    <row r="1850" spans="10:18">
      <c r="J1850" s="4">
        <v>2550</v>
      </c>
      <c r="K1850" s="21" t="str">
        <f t="shared" si="66"/>
        <v>peepsTemplatetest1</v>
      </c>
      <c r="L1850" s="20" t="s">
        <v>175</v>
      </c>
      <c r="M1850" s="4"/>
      <c r="N1850" s="2" t="s">
        <v>97</v>
      </c>
      <c r="O1850" s="2" t="s">
        <v>3207</v>
      </c>
      <c r="P1850" s="4">
        <v>1</v>
      </c>
      <c r="Q1850" s="2" t="s">
        <v>2634</v>
      </c>
      <c r="R1850" s="11">
        <f>SUBTOTAL(3,_xlfn.SINGLE(tbl_file[RowId]))</f>
        <v>1</v>
      </c>
    </row>
    <row r="1851" spans="10:18">
      <c r="J1851" s="4">
        <v>2551</v>
      </c>
      <c r="K1851" s="21" t="str">
        <f t="shared" si="66"/>
        <v>peepsTemplatetest1</v>
      </c>
      <c r="L1851" s="20" t="s">
        <v>175</v>
      </c>
      <c r="M1851" s="4"/>
      <c r="N1851" s="2" t="s">
        <v>98</v>
      </c>
      <c r="O1851" s="2" t="s">
        <v>3208</v>
      </c>
      <c r="P1851" s="4">
        <v>1</v>
      </c>
      <c r="Q1851" s="2" t="s">
        <v>2634</v>
      </c>
      <c r="R1851" s="11">
        <f>SUBTOTAL(3,_xlfn.SINGLE(tbl_file[RowId]))</f>
        <v>1</v>
      </c>
    </row>
    <row r="1852" spans="10:18">
      <c r="J1852" s="4">
        <v>2552</v>
      </c>
      <c r="K1852" s="21" t="str">
        <f t="shared" si="66"/>
        <v>peepsTemplatetest1</v>
      </c>
      <c r="L1852" s="20" t="s">
        <v>175</v>
      </c>
      <c r="M1852" s="4"/>
      <c r="N1852" s="2" t="s">
        <v>99</v>
      </c>
      <c r="O1852" s="2" t="s">
        <v>3209</v>
      </c>
      <c r="P1852" s="4">
        <v>1</v>
      </c>
      <c r="Q1852" s="2" t="s">
        <v>2634</v>
      </c>
      <c r="R1852" s="11">
        <f>SUBTOTAL(3,_xlfn.SINGLE(tbl_file[RowId]))</f>
        <v>1</v>
      </c>
    </row>
    <row r="1853" spans="10:18">
      <c r="J1853" s="4">
        <v>2553</v>
      </c>
      <c r="K1853" s="21" t="str">
        <f t="shared" si="66"/>
        <v>peepsTemplatetest1</v>
      </c>
      <c r="L1853" s="20" t="s">
        <v>175</v>
      </c>
      <c r="M1853" s="4"/>
      <c r="N1853" s="2" t="s">
        <v>100</v>
      </c>
      <c r="O1853" s="2" t="s">
        <v>3210</v>
      </c>
      <c r="P1853" s="4">
        <v>1</v>
      </c>
      <c r="Q1853" s="2" t="s">
        <v>2634</v>
      </c>
      <c r="R1853" s="11">
        <f>SUBTOTAL(3,_xlfn.SINGLE(tbl_file[RowId]))</f>
        <v>1</v>
      </c>
    </row>
    <row r="1854" spans="10:18">
      <c r="J1854" s="4">
        <v>2554</v>
      </c>
      <c r="K1854" s="21" t="str">
        <f t="shared" si="66"/>
        <v>peepsTemplatetest1</v>
      </c>
      <c r="L1854" s="20" t="s">
        <v>175</v>
      </c>
      <c r="M1854" s="4"/>
      <c r="N1854" s="2" t="s">
        <v>101</v>
      </c>
      <c r="O1854" s="2" t="s">
        <v>3245</v>
      </c>
      <c r="P1854" s="4">
        <v>1</v>
      </c>
      <c r="Q1854" s="2" t="s">
        <v>2634</v>
      </c>
      <c r="R1854" s="11">
        <f>SUBTOTAL(3,_xlfn.SINGLE(tbl_file[RowId]))</f>
        <v>1</v>
      </c>
    </row>
    <row r="1855" spans="10:18">
      <c r="J1855" s="4">
        <v>2555</v>
      </c>
      <c r="K1855" s="21" t="str">
        <f t="shared" si="66"/>
        <v>peepsTemplatetest1</v>
      </c>
      <c r="L1855" s="20" t="s">
        <v>175</v>
      </c>
      <c r="M1855" s="4"/>
      <c r="N1855" s="2" t="s">
        <v>102</v>
      </c>
      <c r="O1855" s="2" t="s">
        <v>3211</v>
      </c>
      <c r="P1855" s="4">
        <v>1</v>
      </c>
      <c r="Q1855" s="2" t="s">
        <v>2634</v>
      </c>
      <c r="R1855" s="11">
        <f>SUBTOTAL(3,_xlfn.SINGLE(tbl_file[RowId]))</f>
        <v>1</v>
      </c>
    </row>
    <row r="1856" spans="10:18">
      <c r="J1856" s="4">
        <v>2556</v>
      </c>
      <c r="K1856" s="21" t="str">
        <f t="shared" si="66"/>
        <v>peepsTemplatetest1</v>
      </c>
      <c r="L1856" s="20" t="s">
        <v>175</v>
      </c>
      <c r="M1856" s="4"/>
      <c r="N1856" s="2" t="s">
        <v>103</v>
      </c>
      <c r="O1856" s="2" t="s">
        <v>3212</v>
      </c>
      <c r="P1856" s="4">
        <v>1</v>
      </c>
      <c r="Q1856" s="2" t="s">
        <v>2634</v>
      </c>
      <c r="R1856" s="11">
        <f>SUBTOTAL(3,_xlfn.SINGLE(tbl_file[RowId]))</f>
        <v>1</v>
      </c>
    </row>
    <row r="1857" spans="10:18">
      <c r="J1857" s="4">
        <v>2557</v>
      </c>
      <c r="K1857" s="21" t="str">
        <f t="shared" si="66"/>
        <v>peepsTemplatetest1</v>
      </c>
      <c r="L1857" s="20" t="s">
        <v>175</v>
      </c>
      <c r="M1857" s="4"/>
      <c r="N1857" s="2" t="s">
        <v>104</v>
      </c>
      <c r="O1857" s="2" t="s">
        <v>3213</v>
      </c>
      <c r="P1857" s="4">
        <v>1</v>
      </c>
      <c r="Q1857" s="2" t="s">
        <v>1772</v>
      </c>
      <c r="R1857" s="11">
        <f>SUBTOTAL(3,_xlfn.SINGLE(tbl_file[RowId]))</f>
        <v>1</v>
      </c>
    </row>
    <row r="1858" spans="10:18">
      <c r="J1858" s="4">
        <v>2558</v>
      </c>
      <c r="K1858" s="21" t="str">
        <f t="shared" si="66"/>
        <v>peepsTemplatetest1</v>
      </c>
      <c r="L1858" s="20" t="s">
        <v>175</v>
      </c>
      <c r="M1858" s="4"/>
      <c r="N1858" s="2" t="s">
        <v>105</v>
      </c>
      <c r="O1858" s="2" t="s">
        <v>3214</v>
      </c>
      <c r="P1858" s="4">
        <v>1</v>
      </c>
      <c r="Q1858" s="2" t="s">
        <v>1774</v>
      </c>
      <c r="R1858" s="11">
        <f>SUBTOTAL(3,_xlfn.SINGLE(tbl_file[RowId]))</f>
        <v>1</v>
      </c>
    </row>
    <row r="1859" spans="10:18">
      <c r="J1859" s="4">
        <v>2559</v>
      </c>
      <c r="K1859" s="21" t="str">
        <f t="shared" si="66"/>
        <v>peepsTemplatetest1</v>
      </c>
      <c r="L1859" s="20" t="s">
        <v>175</v>
      </c>
      <c r="M1859" s="4"/>
      <c r="N1859" s="2" t="s">
        <v>106</v>
      </c>
      <c r="O1859" s="2" t="s">
        <v>3215</v>
      </c>
      <c r="P1859" s="4">
        <v>1</v>
      </c>
      <c r="Q1859" s="2" t="s">
        <v>1776</v>
      </c>
      <c r="R1859" s="11">
        <f>SUBTOTAL(3,_xlfn.SINGLE(tbl_file[RowId]))</f>
        <v>1</v>
      </c>
    </row>
    <row r="1860" spans="10:18">
      <c r="J1860" s="4">
        <v>2560</v>
      </c>
      <c r="K1860" s="21" t="str">
        <f t="shared" si="66"/>
        <v>peepsTemplatetest1</v>
      </c>
      <c r="L1860" s="20" t="s">
        <v>175</v>
      </c>
      <c r="M1860" s="4"/>
      <c r="N1860" s="2" t="s">
        <v>108</v>
      </c>
      <c r="O1860" s="2" t="s">
        <v>3246</v>
      </c>
      <c r="P1860" s="4">
        <v>1</v>
      </c>
      <c r="Q1860" s="2" t="s">
        <v>2634</v>
      </c>
      <c r="R1860" s="11">
        <f>SUBTOTAL(3,_xlfn.SINGLE(tbl_file[RowId]))</f>
        <v>1</v>
      </c>
    </row>
    <row r="1861" spans="10:18">
      <c r="J1861" s="4">
        <v>2561</v>
      </c>
      <c r="K1861" s="21" t="str">
        <f t="shared" si="66"/>
        <v>peepsTemplatetest1</v>
      </c>
      <c r="L1861" s="20" t="s">
        <v>175</v>
      </c>
      <c r="M1861" s="4"/>
      <c r="N1861" s="2" t="s">
        <v>109</v>
      </c>
      <c r="O1861" s="2" t="s">
        <v>3217</v>
      </c>
      <c r="P1861" s="4">
        <v>1</v>
      </c>
      <c r="Q1861" s="2" t="s">
        <v>2634</v>
      </c>
      <c r="R1861" s="11">
        <f>SUBTOTAL(3,_xlfn.SINGLE(tbl_file[RowId]))</f>
        <v>1</v>
      </c>
    </row>
    <row r="1862" spans="10:18">
      <c r="J1862" s="4">
        <v>2562</v>
      </c>
      <c r="K1862" s="21" t="str">
        <f t="shared" si="66"/>
        <v>peepsTemplatetest1</v>
      </c>
      <c r="L1862" s="20" t="s">
        <v>175</v>
      </c>
      <c r="M1862" s="4"/>
      <c r="N1862" s="2" t="s">
        <v>110</v>
      </c>
      <c r="O1862" s="2" t="s">
        <v>3247</v>
      </c>
      <c r="P1862" s="4">
        <v>1</v>
      </c>
      <c r="Q1862" s="2" t="s">
        <v>2634</v>
      </c>
      <c r="R1862" s="11">
        <f>SUBTOTAL(3,_xlfn.SINGLE(tbl_file[RowId]))</f>
        <v>1</v>
      </c>
    </row>
    <row r="1863" spans="10:18">
      <c r="J1863" s="4">
        <v>2563</v>
      </c>
      <c r="K1863" s="21" t="str">
        <f t="shared" si="66"/>
        <v>peepsTemplatetest1</v>
      </c>
      <c r="L1863" s="20" t="s">
        <v>175</v>
      </c>
      <c r="M1863" s="4"/>
      <c r="N1863" s="2" t="s">
        <v>111</v>
      </c>
      <c r="O1863" s="2" t="s">
        <v>3218</v>
      </c>
      <c r="P1863" s="4">
        <v>1</v>
      </c>
      <c r="Q1863" s="2" t="s">
        <v>1782</v>
      </c>
      <c r="R1863" s="11">
        <f>SUBTOTAL(3,_xlfn.SINGLE(tbl_file[RowId]))</f>
        <v>1</v>
      </c>
    </row>
    <row r="1864" spans="10:18">
      <c r="J1864" s="4">
        <v>2564</v>
      </c>
      <c r="K1864" s="21" t="str">
        <f t="shared" si="66"/>
        <v>peepsTemplatetest1</v>
      </c>
      <c r="L1864" s="20" t="s">
        <v>175</v>
      </c>
      <c r="M1864" s="4"/>
      <c r="N1864" s="2" t="s">
        <v>112</v>
      </c>
      <c r="O1864" s="2" t="s">
        <v>3248</v>
      </c>
      <c r="P1864" s="4">
        <v>1</v>
      </c>
      <c r="Q1864" s="2" t="s">
        <v>2634</v>
      </c>
      <c r="R1864" s="11">
        <f>SUBTOTAL(3,_xlfn.SINGLE(tbl_file[RowId]))</f>
        <v>1</v>
      </c>
    </row>
    <row r="1865" spans="10:18">
      <c r="J1865" s="4">
        <v>2565</v>
      </c>
      <c r="K1865" s="21" t="str">
        <f t="shared" si="66"/>
        <v>peepsTemplatetest1</v>
      </c>
      <c r="L1865" s="20" t="s">
        <v>175</v>
      </c>
      <c r="M1865" s="4"/>
      <c r="N1865" s="2" t="s">
        <v>113</v>
      </c>
      <c r="O1865" s="2" t="s">
        <v>3249</v>
      </c>
      <c r="P1865" s="4">
        <v>1</v>
      </c>
      <c r="Q1865" s="2" t="s">
        <v>2634</v>
      </c>
      <c r="R1865" s="11">
        <f>SUBTOTAL(3,_xlfn.SINGLE(tbl_file[RowId]))</f>
        <v>1</v>
      </c>
    </row>
    <row r="1866" spans="10:18">
      <c r="J1866" s="4">
        <v>2566</v>
      </c>
      <c r="K1866" s="21" t="str">
        <f t="shared" si="66"/>
        <v>peepsTemplatetest1</v>
      </c>
      <c r="L1866" s="20" t="s">
        <v>175</v>
      </c>
      <c r="M1866" s="4"/>
      <c r="N1866" s="2" t="s">
        <v>114</v>
      </c>
      <c r="O1866" s="2" t="s">
        <v>3250</v>
      </c>
      <c r="P1866" s="4">
        <v>1</v>
      </c>
      <c r="Q1866" s="2" t="s">
        <v>2634</v>
      </c>
      <c r="R1866" s="11">
        <f>SUBTOTAL(3,_xlfn.SINGLE(tbl_file[RowId]))</f>
        <v>1</v>
      </c>
    </row>
    <row r="1867" spans="10:18">
      <c r="J1867" s="4">
        <v>2567</v>
      </c>
      <c r="K1867" s="21" t="str">
        <f t="shared" si="66"/>
        <v>peepsTemplatetest1</v>
      </c>
      <c r="L1867" s="20" t="s">
        <v>175</v>
      </c>
      <c r="M1867" s="4"/>
      <c r="N1867" s="2" t="s">
        <v>115</v>
      </c>
      <c r="O1867" s="2" t="s">
        <v>3251</v>
      </c>
      <c r="P1867" s="4">
        <v>1</v>
      </c>
      <c r="Q1867" s="2" t="s">
        <v>2634</v>
      </c>
      <c r="R1867" s="11">
        <f>SUBTOTAL(3,_xlfn.SINGLE(tbl_file[RowId]))</f>
        <v>1</v>
      </c>
    </row>
    <row r="1868" spans="10:18">
      <c r="J1868" s="4">
        <v>2568</v>
      </c>
      <c r="K1868" s="21" t="str">
        <f t="shared" si="66"/>
        <v>peepsTemplatetest1</v>
      </c>
      <c r="L1868" s="20" t="s">
        <v>175</v>
      </c>
      <c r="M1868" s="4"/>
      <c r="N1868" s="2" t="s">
        <v>116</v>
      </c>
      <c r="O1868" s="2" t="s">
        <v>3252</v>
      </c>
      <c r="P1868" s="4">
        <v>1</v>
      </c>
      <c r="Q1868" s="2" t="s">
        <v>2634</v>
      </c>
      <c r="R1868" s="11">
        <f>SUBTOTAL(3,_xlfn.SINGLE(tbl_file[RowId]))</f>
        <v>1</v>
      </c>
    </row>
    <row r="1869" spans="10:18">
      <c r="J1869" s="4">
        <v>2569</v>
      </c>
      <c r="K1869" s="21" t="str">
        <f t="shared" si="66"/>
        <v>peepsTemplatetest1</v>
      </c>
      <c r="L1869" s="20" t="s">
        <v>175</v>
      </c>
      <c r="M1869" s="4"/>
      <c r="N1869" s="2" t="s">
        <v>2606</v>
      </c>
      <c r="O1869" s="2"/>
      <c r="P1869" s="4">
        <v>2</v>
      </c>
      <c r="Q1869" s="2" t="s">
        <v>3219</v>
      </c>
      <c r="R1869" s="11">
        <f>SUBTOTAL(3,_xlfn.SINGLE(tbl_file[RowId]))</f>
        <v>1</v>
      </c>
    </row>
    <row r="1870" spans="10:18">
      <c r="J1870" s="4">
        <v>2570</v>
      </c>
      <c r="K1870" s="21" t="str">
        <f t="shared" si="66"/>
        <v>peepsTemplatetest1</v>
      </c>
      <c r="L1870" s="20" t="s">
        <v>175</v>
      </c>
      <c r="M1870" s="4"/>
      <c r="N1870" s="2" t="s">
        <v>133</v>
      </c>
      <c r="O1870" s="2" t="s">
        <v>2637</v>
      </c>
      <c r="P1870" s="4">
        <v>1</v>
      </c>
      <c r="Q1870" s="2" t="s">
        <v>2136</v>
      </c>
      <c r="R1870" s="11">
        <f>SUBTOTAL(3,_xlfn.SINGLE(tbl_file[RowId]))</f>
        <v>1</v>
      </c>
    </row>
    <row r="1871" spans="10:18">
      <c r="J1871" s="4">
        <v>846</v>
      </c>
      <c r="K1871" s="21" t="str">
        <f t="shared" ref="K1871:K1901" si="67">HYPERLINK("obsidian://open?vault=o2&amp;file=person.md","person")</f>
        <v>person</v>
      </c>
      <c r="L1871" s="20" t="s">
        <v>175</v>
      </c>
      <c r="M1871" s="4"/>
      <c r="N1871" s="2" t="s">
        <v>2769</v>
      </c>
      <c r="O1871" s="2" t="s">
        <v>2770</v>
      </c>
      <c r="P1871" s="4">
        <v>1</v>
      </c>
      <c r="Q1871" s="2" t="s">
        <v>2771</v>
      </c>
      <c r="R1871" s="11">
        <f>SUBTOTAL(3,_xlfn.SINGLE(tbl_file[RowId]))</f>
        <v>1</v>
      </c>
    </row>
    <row r="1872" spans="10:18">
      <c r="J1872" s="4">
        <v>847</v>
      </c>
      <c r="K1872" s="21" t="str">
        <f t="shared" si="67"/>
        <v>person</v>
      </c>
      <c r="L1872" s="20" t="s">
        <v>175</v>
      </c>
      <c r="M1872" s="4"/>
      <c r="N1872" s="2" t="s">
        <v>2772</v>
      </c>
      <c r="O1872" s="2"/>
      <c r="P1872" s="4">
        <v>1</v>
      </c>
      <c r="Q1872" s="2" t="s">
        <v>2771</v>
      </c>
      <c r="R1872" s="11">
        <f>SUBTOTAL(3,_xlfn.SINGLE(tbl_file[RowId]))</f>
        <v>1</v>
      </c>
    </row>
    <row r="1873" spans="10:18">
      <c r="J1873" s="4">
        <v>848</v>
      </c>
      <c r="K1873" s="21" t="str">
        <f t="shared" si="67"/>
        <v>person</v>
      </c>
      <c r="L1873" s="20" t="s">
        <v>175</v>
      </c>
      <c r="M1873" s="4"/>
      <c r="N1873" s="2" t="s">
        <v>2773</v>
      </c>
      <c r="O1873" s="2"/>
      <c r="P1873" s="4">
        <v>1</v>
      </c>
      <c r="Q1873" s="2" t="s">
        <v>2771</v>
      </c>
      <c r="R1873" s="11">
        <f>SUBTOTAL(3,_xlfn.SINGLE(tbl_file[RowId]))</f>
        <v>1</v>
      </c>
    </row>
    <row r="1874" spans="10:18">
      <c r="J1874" s="4">
        <v>849</v>
      </c>
      <c r="K1874" s="21" t="str">
        <f t="shared" si="67"/>
        <v>person</v>
      </c>
      <c r="L1874" s="20" t="s">
        <v>175</v>
      </c>
      <c r="M1874" s="4"/>
      <c r="N1874" s="2" t="s">
        <v>2774</v>
      </c>
      <c r="O1874" s="2" t="s">
        <v>2775</v>
      </c>
      <c r="P1874" s="4">
        <v>1</v>
      </c>
      <c r="Q1874" s="2" t="s">
        <v>2771</v>
      </c>
      <c r="R1874" s="11">
        <f>SUBTOTAL(3,_xlfn.SINGLE(tbl_file[RowId]))</f>
        <v>1</v>
      </c>
    </row>
    <row r="1875" spans="10:18">
      <c r="J1875" s="4">
        <v>850</v>
      </c>
      <c r="K1875" s="21" t="str">
        <f t="shared" si="67"/>
        <v>person</v>
      </c>
      <c r="L1875" s="20" t="s">
        <v>175</v>
      </c>
      <c r="M1875" s="4"/>
      <c r="N1875" s="2" t="s">
        <v>2782</v>
      </c>
      <c r="O1875" s="2"/>
      <c r="P1875" s="4">
        <v>10</v>
      </c>
      <c r="Q1875" s="2" t="s">
        <v>2888</v>
      </c>
      <c r="R1875" s="11">
        <f>SUBTOTAL(3,_xlfn.SINGLE(tbl_file[RowId]))</f>
        <v>1</v>
      </c>
    </row>
    <row r="1876" spans="10:18">
      <c r="J1876" s="4">
        <v>851</v>
      </c>
      <c r="K1876" s="21" t="str">
        <f t="shared" si="67"/>
        <v>person</v>
      </c>
      <c r="L1876" s="20" t="s">
        <v>175</v>
      </c>
      <c r="M1876" s="4"/>
      <c r="N1876" s="2" t="s">
        <v>2784</v>
      </c>
      <c r="O1876" s="2"/>
      <c r="P1876" s="4">
        <v>10</v>
      </c>
      <c r="Q1876" s="2" t="s">
        <v>2889</v>
      </c>
      <c r="R1876" s="11">
        <f>SUBTOTAL(3,_xlfn.SINGLE(tbl_file[RowId]))</f>
        <v>1</v>
      </c>
    </row>
    <row r="1877" spans="10:18">
      <c r="J1877" s="4">
        <v>852</v>
      </c>
      <c r="K1877" s="21" t="str">
        <f t="shared" si="67"/>
        <v>person</v>
      </c>
      <c r="L1877" s="20" t="s">
        <v>175</v>
      </c>
      <c r="M1877" s="4"/>
      <c r="N1877" s="2" t="s">
        <v>2794</v>
      </c>
      <c r="O1877" s="2" t="s">
        <v>2795</v>
      </c>
      <c r="P1877" s="4">
        <v>5</v>
      </c>
      <c r="Q1877" s="2" t="s">
        <v>2890</v>
      </c>
      <c r="R1877" s="11">
        <f>SUBTOTAL(3,_xlfn.SINGLE(tbl_file[RowId]))</f>
        <v>1</v>
      </c>
    </row>
    <row r="1878" spans="10:18">
      <c r="J1878" s="4">
        <v>853</v>
      </c>
      <c r="K1878" s="21" t="str">
        <f t="shared" si="67"/>
        <v>person</v>
      </c>
      <c r="L1878" s="20" t="s">
        <v>175</v>
      </c>
      <c r="M1878" s="4"/>
      <c r="N1878" s="2" t="s">
        <v>2797</v>
      </c>
      <c r="O1878" s="2" t="s">
        <v>2798</v>
      </c>
      <c r="P1878" s="4">
        <v>1</v>
      </c>
      <c r="Q1878" s="2" t="s">
        <v>2771</v>
      </c>
      <c r="R1878" s="11">
        <f>SUBTOTAL(3,_xlfn.SINGLE(tbl_file[RowId]))</f>
        <v>1</v>
      </c>
    </row>
    <row r="1879" spans="10:18">
      <c r="J1879" s="4">
        <v>854</v>
      </c>
      <c r="K1879" s="21" t="str">
        <f t="shared" si="67"/>
        <v>person</v>
      </c>
      <c r="L1879" s="20" t="s">
        <v>175</v>
      </c>
      <c r="M1879" s="4"/>
      <c r="N1879" s="2" t="s">
        <v>2800</v>
      </c>
      <c r="O1879" s="2"/>
      <c r="P1879" s="4">
        <v>3</v>
      </c>
      <c r="Q1879" s="2" t="s">
        <v>2891</v>
      </c>
      <c r="R1879" s="11">
        <f>SUBTOTAL(3,_xlfn.SINGLE(tbl_file[RowId]))</f>
        <v>1</v>
      </c>
    </row>
    <row r="1880" spans="10:18">
      <c r="J1880" s="4">
        <v>855</v>
      </c>
      <c r="K1880" s="21" t="str">
        <f t="shared" si="67"/>
        <v>person</v>
      </c>
      <c r="L1880" s="20" t="s">
        <v>175</v>
      </c>
      <c r="M1880" s="4"/>
      <c r="N1880" s="2" t="s">
        <v>2892</v>
      </c>
      <c r="O1880" s="2"/>
      <c r="P1880" s="4">
        <v>1</v>
      </c>
      <c r="Q1880" s="2" t="s">
        <v>2893</v>
      </c>
      <c r="R1880" s="11">
        <f>SUBTOTAL(3,_xlfn.SINGLE(tbl_file[RowId]))</f>
        <v>1</v>
      </c>
    </row>
    <row r="1881" spans="10:18">
      <c r="J1881" s="4">
        <v>856</v>
      </c>
      <c r="K1881" s="21" t="str">
        <f t="shared" si="67"/>
        <v>person</v>
      </c>
      <c r="L1881" s="20" t="s">
        <v>175</v>
      </c>
      <c r="M1881" s="4"/>
      <c r="N1881" s="2" t="s">
        <v>2894</v>
      </c>
      <c r="O1881" s="2"/>
      <c r="P1881" s="4">
        <v>1</v>
      </c>
      <c r="Q1881" s="2" t="s">
        <v>2895</v>
      </c>
      <c r="R1881" s="11">
        <f>SUBTOTAL(3,_xlfn.SINGLE(tbl_file[RowId]))</f>
        <v>1</v>
      </c>
    </row>
    <row r="1882" spans="10:18">
      <c r="J1882" s="4">
        <v>857</v>
      </c>
      <c r="K1882" s="21" t="str">
        <f t="shared" si="67"/>
        <v>person</v>
      </c>
      <c r="L1882" s="20" t="s">
        <v>175</v>
      </c>
      <c r="M1882" s="4"/>
      <c r="N1882" s="2" t="s">
        <v>2896</v>
      </c>
      <c r="O1882" s="2"/>
      <c r="P1882" s="4">
        <v>1</v>
      </c>
      <c r="Q1882" s="2" t="s">
        <v>2897</v>
      </c>
      <c r="R1882" s="11">
        <f>SUBTOTAL(3,_xlfn.SINGLE(tbl_file[RowId]))</f>
        <v>1</v>
      </c>
    </row>
    <row r="1883" spans="10:18">
      <c r="J1883" s="4">
        <v>858</v>
      </c>
      <c r="K1883" s="21" t="str">
        <f t="shared" si="67"/>
        <v>person</v>
      </c>
      <c r="L1883" s="20" t="s">
        <v>175</v>
      </c>
      <c r="M1883" s="4"/>
      <c r="N1883" s="2" t="s">
        <v>2802</v>
      </c>
      <c r="O1883" s="2"/>
      <c r="P1883" s="4">
        <v>4</v>
      </c>
      <c r="Q1883" s="2" t="s">
        <v>2898</v>
      </c>
      <c r="R1883" s="11">
        <f>SUBTOTAL(3,_xlfn.SINGLE(tbl_file[RowId]))</f>
        <v>1</v>
      </c>
    </row>
    <row r="1884" spans="10:18">
      <c r="J1884" s="4">
        <v>859</v>
      </c>
      <c r="K1884" s="21" t="str">
        <f t="shared" si="67"/>
        <v>person</v>
      </c>
      <c r="L1884" s="20" t="s">
        <v>175</v>
      </c>
      <c r="M1884" s="4"/>
      <c r="N1884" s="2" t="s">
        <v>2804</v>
      </c>
      <c r="O1884" s="2"/>
      <c r="P1884" s="4">
        <v>3</v>
      </c>
      <c r="Q1884" s="2" t="s">
        <v>2899</v>
      </c>
      <c r="R1884" s="11">
        <f>SUBTOTAL(3,_xlfn.SINGLE(tbl_file[RowId]))</f>
        <v>1</v>
      </c>
    </row>
    <row r="1885" spans="10:18">
      <c r="J1885" s="4">
        <v>860</v>
      </c>
      <c r="K1885" s="21" t="str">
        <f t="shared" si="67"/>
        <v>person</v>
      </c>
      <c r="L1885" s="20" t="s">
        <v>175</v>
      </c>
      <c r="M1885" s="4"/>
      <c r="N1885" s="2" t="s">
        <v>2806</v>
      </c>
      <c r="O1885" s="2"/>
      <c r="P1885" s="4">
        <v>3</v>
      </c>
      <c r="Q1885" s="2" t="s">
        <v>2900</v>
      </c>
      <c r="R1885" s="11">
        <f>SUBTOTAL(3,_xlfn.SINGLE(tbl_file[RowId]))</f>
        <v>1</v>
      </c>
    </row>
    <row r="1886" spans="10:18">
      <c r="J1886" s="4">
        <v>861</v>
      </c>
      <c r="K1886" s="21" t="str">
        <f t="shared" si="67"/>
        <v>person</v>
      </c>
      <c r="L1886" s="20" t="s">
        <v>175</v>
      </c>
      <c r="M1886" s="4"/>
      <c r="N1886" s="2" t="s">
        <v>2808</v>
      </c>
      <c r="O1886" s="2"/>
      <c r="P1886" s="4">
        <v>2</v>
      </c>
      <c r="Q1886" s="2" t="s">
        <v>2901</v>
      </c>
      <c r="R1886" s="11">
        <f>SUBTOTAL(3,_xlfn.SINGLE(tbl_file[RowId]))</f>
        <v>1</v>
      </c>
    </row>
    <row r="1887" spans="10:18">
      <c r="J1887" s="4">
        <v>862</v>
      </c>
      <c r="K1887" s="21" t="str">
        <f t="shared" si="67"/>
        <v>person</v>
      </c>
      <c r="L1887" s="20" t="s">
        <v>175</v>
      </c>
      <c r="M1887" s="4"/>
      <c r="N1887" s="2" t="s">
        <v>2902</v>
      </c>
      <c r="O1887" s="2"/>
      <c r="P1887" s="4">
        <v>2</v>
      </c>
      <c r="Q1887" s="2" t="s">
        <v>2903</v>
      </c>
      <c r="R1887" s="11">
        <f>SUBTOTAL(3,_xlfn.SINGLE(tbl_file[RowId]))</f>
        <v>1</v>
      </c>
    </row>
    <row r="1888" spans="10:18">
      <c r="J1888" s="4">
        <v>863</v>
      </c>
      <c r="K1888" s="21" t="str">
        <f t="shared" si="67"/>
        <v>person</v>
      </c>
      <c r="L1888" s="20" t="s">
        <v>175</v>
      </c>
      <c r="M1888" s="4"/>
      <c r="N1888" s="2" t="s">
        <v>2904</v>
      </c>
      <c r="O1888" s="2"/>
      <c r="P1888" s="4">
        <v>1</v>
      </c>
      <c r="Q1888" s="2" t="s">
        <v>2905</v>
      </c>
      <c r="R1888" s="11">
        <f>SUBTOTAL(3,_xlfn.SINGLE(tbl_file[RowId]))</f>
        <v>1</v>
      </c>
    </row>
    <row r="1889" spans="10:18">
      <c r="J1889" s="4">
        <v>864</v>
      </c>
      <c r="K1889" s="21" t="str">
        <f t="shared" si="67"/>
        <v>person</v>
      </c>
      <c r="L1889" s="20" t="s">
        <v>175</v>
      </c>
      <c r="M1889" s="4"/>
      <c r="N1889" s="2" t="s">
        <v>2906</v>
      </c>
      <c r="O1889" s="2"/>
      <c r="P1889" s="4">
        <v>1</v>
      </c>
      <c r="Q1889" s="2" t="s">
        <v>2907</v>
      </c>
      <c r="R1889" s="11">
        <f>SUBTOTAL(3,_xlfn.SINGLE(tbl_file[RowId]))</f>
        <v>1</v>
      </c>
    </row>
    <row r="1890" spans="10:18">
      <c r="J1890" s="4">
        <v>865</v>
      </c>
      <c r="K1890" s="21" t="str">
        <f t="shared" si="67"/>
        <v>person</v>
      </c>
      <c r="L1890" s="20" t="s">
        <v>175</v>
      </c>
      <c r="M1890" s="4"/>
      <c r="N1890" s="2" t="s">
        <v>2908</v>
      </c>
      <c r="O1890" s="2"/>
      <c r="P1890" s="4">
        <v>1</v>
      </c>
      <c r="Q1890" s="2" t="s">
        <v>2909</v>
      </c>
      <c r="R1890" s="11">
        <f>SUBTOTAL(3,_xlfn.SINGLE(tbl_file[RowId]))</f>
        <v>1</v>
      </c>
    </row>
    <row r="1891" spans="10:18">
      <c r="J1891" s="4">
        <v>866</v>
      </c>
      <c r="K1891" s="21" t="str">
        <f t="shared" si="67"/>
        <v>person</v>
      </c>
      <c r="L1891" s="20" t="s">
        <v>175</v>
      </c>
      <c r="M1891" s="4"/>
      <c r="N1891" s="2" t="s">
        <v>2810</v>
      </c>
      <c r="O1891" s="2" t="s">
        <v>2811</v>
      </c>
      <c r="P1891" s="4">
        <v>2</v>
      </c>
      <c r="Q1891" s="2" t="s">
        <v>2910</v>
      </c>
      <c r="R1891" s="11">
        <f>SUBTOTAL(3,_xlfn.SINGLE(tbl_file[RowId]))</f>
        <v>1</v>
      </c>
    </row>
    <row r="1892" spans="10:18">
      <c r="J1892" s="4">
        <v>867</v>
      </c>
      <c r="K1892" s="21" t="str">
        <f t="shared" si="67"/>
        <v>person</v>
      </c>
      <c r="L1892" s="20" t="s">
        <v>175</v>
      </c>
      <c r="M1892" s="4"/>
      <c r="N1892" s="2" t="s">
        <v>2812</v>
      </c>
      <c r="O1892" s="2"/>
      <c r="P1892" s="4">
        <v>10</v>
      </c>
      <c r="Q1892" s="2" t="s">
        <v>2840</v>
      </c>
      <c r="R1892" s="11">
        <f>SUBTOTAL(3,_xlfn.SINGLE(tbl_file[RowId]))</f>
        <v>1</v>
      </c>
    </row>
    <row r="1893" spans="10:18">
      <c r="J1893" s="4">
        <v>868</v>
      </c>
      <c r="K1893" s="21" t="str">
        <f t="shared" si="67"/>
        <v>person</v>
      </c>
      <c r="L1893" s="20" t="s">
        <v>175</v>
      </c>
      <c r="M1893" s="4"/>
      <c r="N1893" s="2" t="s">
        <v>2814</v>
      </c>
      <c r="O1893" s="2"/>
      <c r="P1893" s="4">
        <v>10</v>
      </c>
      <c r="Q1893" s="2" t="s">
        <v>2911</v>
      </c>
      <c r="R1893" s="11">
        <f>SUBTOTAL(3,_xlfn.SINGLE(tbl_file[RowId]))</f>
        <v>1</v>
      </c>
    </row>
    <row r="1894" spans="10:18">
      <c r="J1894" s="4">
        <v>869</v>
      </c>
      <c r="K1894" s="21" t="str">
        <f t="shared" si="67"/>
        <v>person</v>
      </c>
      <c r="L1894" s="20" t="s">
        <v>175</v>
      </c>
      <c r="M1894" s="4"/>
      <c r="N1894" s="2" t="s">
        <v>2816</v>
      </c>
      <c r="O1894" s="2" t="s">
        <v>2817</v>
      </c>
      <c r="P1894" s="4">
        <v>10</v>
      </c>
      <c r="Q1894" s="2" t="s">
        <v>2912</v>
      </c>
      <c r="R1894" s="11">
        <f>SUBTOTAL(3,_xlfn.SINGLE(tbl_file[RowId]))</f>
        <v>1</v>
      </c>
    </row>
    <row r="1895" spans="10:18">
      <c r="J1895" s="4">
        <v>870</v>
      </c>
      <c r="K1895" s="21" t="str">
        <f t="shared" si="67"/>
        <v>person</v>
      </c>
      <c r="L1895" s="20" t="s">
        <v>175</v>
      </c>
      <c r="M1895" s="4"/>
      <c r="N1895" s="2" t="s">
        <v>2819</v>
      </c>
      <c r="O1895" s="2" t="s">
        <v>2820</v>
      </c>
      <c r="P1895" s="4">
        <v>1</v>
      </c>
      <c r="Q1895" s="2" t="s">
        <v>2913</v>
      </c>
      <c r="R1895" s="11">
        <f>SUBTOTAL(3,_xlfn.SINGLE(tbl_file[RowId]))</f>
        <v>1</v>
      </c>
    </row>
    <row r="1896" spans="10:18">
      <c r="J1896" s="4">
        <v>871</v>
      </c>
      <c r="K1896" s="21" t="str">
        <f t="shared" si="67"/>
        <v>person</v>
      </c>
      <c r="L1896" s="20" t="s">
        <v>175</v>
      </c>
      <c r="M1896" s="4"/>
      <c r="N1896" s="2" t="s">
        <v>44</v>
      </c>
      <c r="O1896" s="2"/>
      <c r="P1896" s="4">
        <v>1</v>
      </c>
      <c r="Q1896" s="2" t="s">
        <v>2869</v>
      </c>
      <c r="R1896" s="11">
        <f>SUBTOTAL(3,_xlfn.SINGLE(tbl_file[RowId]))</f>
        <v>1</v>
      </c>
    </row>
    <row r="1897" spans="10:18">
      <c r="J1897" s="4">
        <v>872</v>
      </c>
      <c r="K1897" s="21" t="str">
        <f t="shared" si="67"/>
        <v>person</v>
      </c>
      <c r="L1897" s="20" t="s">
        <v>175</v>
      </c>
      <c r="M1897" s="4"/>
      <c r="N1897" s="2" t="s">
        <v>49</v>
      </c>
      <c r="O1897" s="2"/>
      <c r="P1897" s="4">
        <v>1</v>
      </c>
      <c r="Q1897" s="2" t="s">
        <v>2870</v>
      </c>
      <c r="R1897" s="11">
        <f>SUBTOTAL(3,_xlfn.SINGLE(tbl_file[RowId]))</f>
        <v>1</v>
      </c>
    </row>
    <row r="1898" spans="10:18">
      <c r="J1898" s="4">
        <v>873</v>
      </c>
      <c r="K1898" s="21" t="str">
        <f t="shared" si="67"/>
        <v>person</v>
      </c>
      <c r="L1898" s="20" t="s">
        <v>175</v>
      </c>
      <c r="M1898" s="4"/>
      <c r="N1898" s="2" t="s">
        <v>51</v>
      </c>
      <c r="O1898" s="2" t="s">
        <v>2821</v>
      </c>
      <c r="P1898" s="4">
        <v>1</v>
      </c>
      <c r="Q1898" s="2" t="s">
        <v>2667</v>
      </c>
      <c r="R1898" s="11">
        <f>SUBTOTAL(3,_xlfn.SINGLE(tbl_file[RowId]))</f>
        <v>1</v>
      </c>
    </row>
    <row r="1899" spans="10:18">
      <c r="J1899" s="4">
        <v>874</v>
      </c>
      <c r="K1899" s="21" t="str">
        <f t="shared" si="67"/>
        <v>person</v>
      </c>
      <c r="L1899" s="20" t="s">
        <v>175</v>
      </c>
      <c r="M1899" s="4"/>
      <c r="N1899" s="2" t="s">
        <v>2822</v>
      </c>
      <c r="O1899" s="2" t="s">
        <v>2823</v>
      </c>
      <c r="P1899" s="4">
        <v>1</v>
      </c>
      <c r="Q1899" s="2" t="s">
        <v>2771</v>
      </c>
      <c r="R1899" s="11">
        <f>SUBTOTAL(3,_xlfn.SINGLE(tbl_file[RowId]))</f>
        <v>1</v>
      </c>
    </row>
    <row r="1900" spans="10:18">
      <c r="J1900" s="4">
        <v>875</v>
      </c>
      <c r="K1900" s="21" t="str">
        <f t="shared" si="67"/>
        <v>person</v>
      </c>
      <c r="L1900" s="20" t="s">
        <v>175</v>
      </c>
      <c r="M1900" s="4"/>
      <c r="N1900" s="2" t="s">
        <v>2824</v>
      </c>
      <c r="O1900" s="2" t="s">
        <v>2825</v>
      </c>
      <c r="P1900" s="4">
        <v>1</v>
      </c>
      <c r="Q1900" s="2" t="s">
        <v>2771</v>
      </c>
      <c r="R1900" s="11">
        <f>SUBTOTAL(3,_xlfn.SINGLE(tbl_file[RowId]))</f>
        <v>1</v>
      </c>
    </row>
    <row r="1901" spans="10:18">
      <c r="J1901" s="4">
        <v>876</v>
      </c>
      <c r="K1901" s="21" t="str">
        <f t="shared" si="67"/>
        <v>person</v>
      </c>
      <c r="L1901" s="20" t="s">
        <v>175</v>
      </c>
      <c r="M1901" s="4"/>
      <c r="N1901" s="2" t="s">
        <v>2826</v>
      </c>
      <c r="O1901" s="2"/>
      <c r="P1901" s="4">
        <v>1</v>
      </c>
      <c r="Q1901" s="2" t="s">
        <v>2914</v>
      </c>
      <c r="R1901" s="11">
        <f>SUBTOTAL(3,_xlfn.SINGLE(tbl_file[RowId]))</f>
        <v>1</v>
      </c>
    </row>
    <row r="1902" spans="10:18">
      <c r="J1902" s="4">
        <v>247</v>
      </c>
      <c r="K1902" s="21" t="str">
        <f>HYPERLINK("obsidian://open?vault=o2&amp;file=Persons%20Database%20Research.md","Persons Database Research")</f>
        <v>Persons Database Research</v>
      </c>
      <c r="L1902" s="20" t="s">
        <v>175</v>
      </c>
      <c r="M1902" s="4"/>
      <c r="N1902" s="2" t="s">
        <v>50</v>
      </c>
      <c r="O1902" s="2"/>
      <c r="P1902" s="4">
        <v>1</v>
      </c>
      <c r="Q1902" s="2" t="s">
        <v>1512</v>
      </c>
      <c r="R1902" s="11">
        <f>SUBTOTAL(3,_xlfn.SINGLE(tbl_file[RowId]))</f>
        <v>1</v>
      </c>
    </row>
    <row r="1903" spans="10:18">
      <c r="J1903" s="4">
        <v>248</v>
      </c>
      <c r="K1903" s="21" t="str">
        <f>HYPERLINK("obsidian://open?vault=o2&amp;file=Persons%20Database%20Research.md","Persons Database Research")</f>
        <v>Persons Database Research</v>
      </c>
      <c r="L1903" s="20" t="s">
        <v>175</v>
      </c>
      <c r="M1903" s="4"/>
      <c r="N1903" s="2" t="s">
        <v>127</v>
      </c>
      <c r="O1903" s="2"/>
      <c r="P1903" s="4">
        <v>1</v>
      </c>
      <c r="Q1903" s="2" t="s">
        <v>1958</v>
      </c>
      <c r="R1903" s="11">
        <f>SUBTOTAL(3,_xlfn.SINGLE(tbl_file[RowId]))</f>
        <v>1</v>
      </c>
    </row>
    <row r="1904" spans="10:18">
      <c r="J1904" s="4">
        <v>249</v>
      </c>
      <c r="K1904" s="21" t="str">
        <f>HYPERLINK("obsidian://open?vault=o2&amp;file=Persons%20Database%20Research.md","Persons Database Research")</f>
        <v>Persons Database Research</v>
      </c>
      <c r="L1904" s="20" t="s">
        <v>175</v>
      </c>
      <c r="M1904" s="4"/>
      <c r="N1904" s="2" t="s">
        <v>2606</v>
      </c>
      <c r="O1904" s="2"/>
      <c r="P1904" s="4">
        <v>2</v>
      </c>
      <c r="Q1904" s="2" t="s">
        <v>2654</v>
      </c>
      <c r="R1904" s="11">
        <f>SUBTOTAL(3,_xlfn.SINGLE(tbl_file[RowId]))</f>
        <v>1</v>
      </c>
    </row>
    <row r="1905" spans="10:18">
      <c r="J1905" s="4">
        <v>250</v>
      </c>
      <c r="K1905" s="21" t="str">
        <f>HYPERLINK("obsidian://open?vault=o2&amp;file=Persons%20Database%20Research.md","Persons Database Research")</f>
        <v>Persons Database Research</v>
      </c>
      <c r="L1905" s="20" t="s">
        <v>175</v>
      </c>
      <c r="M1905" s="4"/>
      <c r="N1905" s="2" t="s">
        <v>133</v>
      </c>
      <c r="O1905" s="2"/>
      <c r="P1905" s="4">
        <v>1</v>
      </c>
      <c r="Q1905" s="2" t="s">
        <v>2614</v>
      </c>
      <c r="R1905" s="11">
        <f>SUBTOTAL(3,_xlfn.SINGLE(tbl_file[RowId]))</f>
        <v>1</v>
      </c>
    </row>
    <row r="1906" spans="10:18">
      <c r="J1906" s="4">
        <v>2187</v>
      </c>
      <c r="K1906" s="21" t="str">
        <f>HYPERLINK("obsidian://open?vault=o2&amp;file=Persons%20name.md","Persons name")</f>
        <v>Persons name</v>
      </c>
      <c r="L1906" s="20" t="s">
        <v>175</v>
      </c>
      <c r="M1906" s="4"/>
      <c r="N1906" s="2" t="s">
        <v>133</v>
      </c>
      <c r="O1906" s="2"/>
      <c r="P1906" s="4">
        <v>1</v>
      </c>
      <c r="Q1906" s="2" t="s">
        <v>2693</v>
      </c>
      <c r="R1906" s="11">
        <f>SUBTOTAL(3,_xlfn.SINGLE(tbl_file[RowId]))</f>
        <v>1</v>
      </c>
    </row>
    <row r="1907" spans="10:18">
      <c r="J1907" s="4">
        <v>2184</v>
      </c>
      <c r="K1907" s="21" t="str">
        <f>HYPERLINK("obsidian://open?vault=o2&amp;file=Persons%20name%20OSINT.md","Persons name OSINT")</f>
        <v>Persons name OSINT</v>
      </c>
      <c r="L1907" s="20" t="s">
        <v>175</v>
      </c>
      <c r="M1907" s="4"/>
      <c r="N1907" s="2" t="s">
        <v>50</v>
      </c>
      <c r="O1907" s="2"/>
      <c r="P1907" s="4">
        <v>1</v>
      </c>
      <c r="Q1907" s="2" t="s">
        <v>1448</v>
      </c>
      <c r="R1907" s="11">
        <f>SUBTOTAL(3,_xlfn.SINGLE(tbl_file[RowId]))</f>
        <v>1</v>
      </c>
    </row>
    <row r="1908" spans="10:18">
      <c r="J1908" s="4">
        <v>2185</v>
      </c>
      <c r="K1908" s="21" t="str">
        <f>HYPERLINK("obsidian://open?vault=o2&amp;file=Persons%20name%20OSINT.md","Persons name OSINT")</f>
        <v>Persons name OSINT</v>
      </c>
      <c r="L1908" s="20" t="s">
        <v>175</v>
      </c>
      <c r="M1908" s="4"/>
      <c r="N1908" s="2" t="s">
        <v>2606</v>
      </c>
      <c r="O1908" s="2"/>
      <c r="P1908" s="4">
        <v>2</v>
      </c>
      <c r="Q1908" s="2" t="s">
        <v>3084</v>
      </c>
      <c r="R1908" s="11">
        <f>SUBTOTAL(3,_xlfn.SINGLE(tbl_file[RowId]))</f>
        <v>1</v>
      </c>
    </row>
    <row r="1909" spans="10:18">
      <c r="J1909" s="4">
        <v>2186</v>
      </c>
      <c r="K1909" s="21" t="str">
        <f>HYPERLINK("obsidian://open?vault=o2&amp;file=Persons%20name%20OSINT.md","Persons name OSINT")</f>
        <v>Persons name OSINT</v>
      </c>
      <c r="L1909" s="20" t="s">
        <v>175</v>
      </c>
      <c r="M1909" s="4"/>
      <c r="N1909" s="2" t="s">
        <v>133</v>
      </c>
      <c r="O1909" s="2"/>
      <c r="P1909" s="4">
        <v>1</v>
      </c>
      <c r="Q1909" s="2" t="s">
        <v>2622</v>
      </c>
      <c r="R1909" s="11">
        <f>SUBTOTAL(3,_xlfn.SINGLE(tbl_file[RowId]))</f>
        <v>1</v>
      </c>
    </row>
    <row r="1910" spans="10:18">
      <c r="J1910" s="4">
        <v>1187</v>
      </c>
      <c r="K1910" s="21" t="str">
        <f>HYPERLINK("obsidian://open?vault=o2&amp;file=personsDB%20Maintenance.md","personsDB Maintenance")</f>
        <v>personsDB Maintenance</v>
      </c>
      <c r="L1910" s="20" t="s">
        <v>175</v>
      </c>
      <c r="M1910" s="4"/>
      <c r="N1910" s="2" t="s">
        <v>127</v>
      </c>
      <c r="O1910" s="2"/>
      <c r="P1910" s="4">
        <v>1</v>
      </c>
      <c r="Q1910" s="2" t="s">
        <v>1968</v>
      </c>
      <c r="R1910" s="11">
        <f>SUBTOTAL(3,_xlfn.SINGLE(tbl_file[RowId]))</f>
        <v>1</v>
      </c>
    </row>
    <row r="1911" spans="10:18">
      <c r="J1911" s="4">
        <v>1188</v>
      </c>
      <c r="K1911" s="21" t="str">
        <f>HYPERLINK("obsidian://open?vault=o2&amp;file=personsDB%20Maintenance.md","personsDB Maintenance")</f>
        <v>personsDB Maintenance</v>
      </c>
      <c r="L1911" s="20" t="s">
        <v>175</v>
      </c>
      <c r="M1911" s="4"/>
      <c r="N1911" s="2" t="s">
        <v>2606</v>
      </c>
      <c r="O1911" s="2"/>
      <c r="P1911" s="4">
        <v>2</v>
      </c>
      <c r="Q1911" s="2" t="s">
        <v>2996</v>
      </c>
      <c r="R1911" s="11">
        <f>SUBTOTAL(3,_xlfn.SINGLE(tbl_file[RowId]))</f>
        <v>1</v>
      </c>
    </row>
    <row r="1912" spans="10:18">
      <c r="J1912" s="4">
        <v>1189</v>
      </c>
      <c r="K1912" s="21" t="str">
        <f>HYPERLINK("obsidian://open?vault=o2&amp;file=personsDB%20Maintenance.md","personsDB Maintenance")</f>
        <v>personsDB Maintenance</v>
      </c>
      <c r="L1912" s="20" t="s">
        <v>175</v>
      </c>
      <c r="M1912" s="4"/>
      <c r="N1912" s="2" t="s">
        <v>133</v>
      </c>
      <c r="O1912" s="2"/>
      <c r="P1912" s="4">
        <v>1</v>
      </c>
      <c r="Q1912" s="2" t="s">
        <v>2622</v>
      </c>
      <c r="R1912" s="11">
        <f>SUBTOTAL(3,_xlfn.SINGLE(tbl_file[RowId]))</f>
        <v>1</v>
      </c>
    </row>
    <row r="1913" spans="10:18">
      <c r="J1913" s="4">
        <v>2583</v>
      </c>
      <c r="K1913" s="21" t="str">
        <f t="shared" ref="K1913:K1918" si="68">HYPERLINK("obsidian://open?vault=o2&amp;file=personsTemplate.md","personsTemplate")</f>
        <v>personsTemplate</v>
      </c>
      <c r="L1913" s="20" t="s">
        <v>175</v>
      </c>
      <c r="M1913" s="4"/>
      <c r="N1913" s="2" t="s">
        <v>14</v>
      </c>
      <c r="O1913" s="2"/>
      <c r="P1913" s="4">
        <v>1</v>
      </c>
      <c r="Q1913" s="2" t="s">
        <v>344</v>
      </c>
      <c r="R1913" s="11">
        <f>SUBTOTAL(3,_xlfn.SINGLE(tbl_file[RowId]))</f>
        <v>1</v>
      </c>
    </row>
    <row r="1914" spans="10:18">
      <c r="J1914" s="4">
        <v>2584</v>
      </c>
      <c r="K1914" s="21" t="str">
        <f t="shared" si="68"/>
        <v>personsTemplate</v>
      </c>
      <c r="L1914" s="20" t="s">
        <v>175</v>
      </c>
      <c r="M1914" s="4"/>
      <c r="N1914" s="2" t="s">
        <v>41</v>
      </c>
      <c r="O1914" s="2" t="s">
        <v>3188</v>
      </c>
      <c r="P1914" s="4">
        <v>1</v>
      </c>
      <c r="Q1914" s="2" t="s">
        <v>601</v>
      </c>
      <c r="R1914" s="11">
        <f>SUBTOTAL(3,_xlfn.SINGLE(tbl_file[RowId]))</f>
        <v>1</v>
      </c>
    </row>
    <row r="1915" spans="10:18">
      <c r="J1915" s="4">
        <v>2585</v>
      </c>
      <c r="K1915" s="21" t="str">
        <f t="shared" si="68"/>
        <v>personsTemplate</v>
      </c>
      <c r="L1915" s="20" t="s">
        <v>175</v>
      </c>
      <c r="M1915" s="4"/>
      <c r="N1915" s="2" t="s">
        <v>50</v>
      </c>
      <c r="O1915" s="2" t="s">
        <v>2646</v>
      </c>
      <c r="P1915" s="4">
        <v>1</v>
      </c>
      <c r="Q1915" s="2" t="s">
        <v>1712</v>
      </c>
      <c r="R1915" s="11">
        <f>SUBTOTAL(3,_xlfn.SINGLE(tbl_file[RowId]))</f>
        <v>1</v>
      </c>
    </row>
    <row r="1916" spans="10:18">
      <c r="J1916" s="4">
        <v>2586</v>
      </c>
      <c r="K1916" s="21" t="str">
        <f t="shared" si="68"/>
        <v>personsTemplate</v>
      </c>
      <c r="L1916" s="20" t="s">
        <v>175</v>
      </c>
      <c r="M1916" s="4"/>
      <c r="N1916" s="2" t="s">
        <v>2606</v>
      </c>
      <c r="O1916" s="2"/>
      <c r="P1916" s="4">
        <v>2</v>
      </c>
      <c r="Q1916" s="2" t="s">
        <v>3254</v>
      </c>
      <c r="R1916" s="11">
        <f>SUBTOTAL(3,_xlfn.SINGLE(tbl_file[RowId]))</f>
        <v>1</v>
      </c>
    </row>
    <row r="1917" spans="10:18">
      <c r="J1917" s="4">
        <v>2587</v>
      </c>
      <c r="K1917" s="21" t="str">
        <f t="shared" si="68"/>
        <v>personsTemplate</v>
      </c>
      <c r="L1917" s="20" t="s">
        <v>175</v>
      </c>
      <c r="M1917" s="4"/>
      <c r="N1917" s="2" t="s">
        <v>133</v>
      </c>
      <c r="O1917" s="2" t="s">
        <v>2637</v>
      </c>
      <c r="P1917" s="4">
        <v>1</v>
      </c>
      <c r="Q1917" s="2" t="s">
        <v>2140</v>
      </c>
      <c r="R1917" s="11">
        <f>SUBTOTAL(3,_xlfn.SINGLE(tbl_file[RowId]))</f>
        <v>1</v>
      </c>
    </row>
    <row r="1918" spans="10:18">
      <c r="J1918" s="4">
        <v>2588</v>
      </c>
      <c r="K1918" s="21" t="str">
        <f t="shared" si="68"/>
        <v>personsTemplate</v>
      </c>
      <c r="L1918" s="20" t="s">
        <v>175</v>
      </c>
      <c r="M1918" s="4" t="s">
        <v>2626</v>
      </c>
      <c r="N1918" s="2" t="s">
        <v>2606</v>
      </c>
      <c r="O1918" s="2" t="s">
        <v>2637</v>
      </c>
      <c r="P1918" s="4">
        <v>8</v>
      </c>
      <c r="Q1918" s="2" t="s">
        <v>3255</v>
      </c>
      <c r="R1918" s="11">
        <f>SUBTOTAL(3,_xlfn.SINGLE(tbl_file[RowId]))</f>
        <v>1</v>
      </c>
    </row>
    <row r="1919" spans="10:18">
      <c r="J1919" s="4">
        <v>2188</v>
      </c>
      <c r="K1919" s="21" t="str">
        <f>HYPERLINK("obsidian://open?vault=o2&amp;file=Phone%20Number%20OSINT.md","Phone Number OSINT")</f>
        <v>Phone Number OSINT</v>
      </c>
      <c r="L1919" s="20" t="s">
        <v>175</v>
      </c>
      <c r="M1919" s="4"/>
      <c r="N1919" s="2" t="s">
        <v>50</v>
      </c>
      <c r="O1919" s="2"/>
      <c r="P1919" s="4">
        <v>1</v>
      </c>
      <c r="Q1919" s="2" t="s">
        <v>1448</v>
      </c>
      <c r="R1919" s="11">
        <f>SUBTOTAL(3,_xlfn.SINGLE(tbl_file[RowId]))</f>
        <v>1</v>
      </c>
    </row>
    <row r="1920" spans="10:18">
      <c r="J1920" s="4">
        <v>2189</v>
      </c>
      <c r="K1920" s="21" t="str">
        <f>HYPERLINK("obsidian://open?vault=o2&amp;file=Phone%20Number%20OSINT.md","Phone Number OSINT")</f>
        <v>Phone Number OSINT</v>
      </c>
      <c r="L1920" s="20" t="s">
        <v>175</v>
      </c>
      <c r="M1920" s="4"/>
      <c r="N1920" s="2" t="s">
        <v>2606</v>
      </c>
      <c r="O1920" s="2"/>
      <c r="P1920" s="4">
        <v>2</v>
      </c>
      <c r="Q1920" s="2" t="s">
        <v>3084</v>
      </c>
      <c r="R1920" s="11">
        <f>SUBTOTAL(3,_xlfn.SINGLE(tbl_file[RowId]))</f>
        <v>1</v>
      </c>
    </row>
    <row r="1921" spans="10:18">
      <c r="J1921" s="4">
        <v>2190</v>
      </c>
      <c r="K1921" s="21" t="str">
        <f>HYPERLINK("obsidian://open?vault=o2&amp;file=Phone%20Number%20OSINT.md","Phone Number OSINT")</f>
        <v>Phone Number OSINT</v>
      </c>
      <c r="L1921" s="20" t="s">
        <v>175</v>
      </c>
      <c r="M1921" s="4"/>
      <c r="N1921" s="2" t="s">
        <v>133</v>
      </c>
      <c r="O1921" s="2"/>
      <c r="P1921" s="4">
        <v>1</v>
      </c>
      <c r="Q1921" s="2" t="s">
        <v>2622</v>
      </c>
      <c r="R1921" s="11">
        <f>SUBTOTAL(3,_xlfn.SINGLE(tbl_file[RowId]))</f>
        <v>1</v>
      </c>
    </row>
    <row r="1922" spans="10:18">
      <c r="J1922" s="4">
        <v>1075</v>
      </c>
      <c r="K1922" s="21" t="str">
        <f>HYPERLINK("obsidian://open?vault=o2&amp;file=Photo%20in%20Home%20Maintenance%20-%20Google%20Photos.md","Photo in Home Maintenance - Google Photos")</f>
        <v>Photo in Home Maintenance - Google Photos</v>
      </c>
      <c r="L1922" s="20" t="s">
        <v>175</v>
      </c>
      <c r="M1922" s="4"/>
      <c r="N1922" s="2" t="s">
        <v>19</v>
      </c>
      <c r="O1922" s="2"/>
      <c r="P1922" s="4">
        <v>1</v>
      </c>
      <c r="Q1922" s="2" t="s">
        <v>406</v>
      </c>
      <c r="R1922" s="11">
        <f>SUBTOTAL(3,_xlfn.SINGLE(tbl_file[RowId]))</f>
        <v>1</v>
      </c>
    </row>
    <row r="1923" spans="10:18">
      <c r="J1923" s="4">
        <v>1076</v>
      </c>
      <c r="K1923" s="21" t="str">
        <f>HYPERLINK("obsidian://open?vault=o2&amp;file=Photo%20in%20Home%20Maintenance%20-%20Google%20Photos.md","Photo in Home Maintenance - Google Photos")</f>
        <v>Photo in Home Maintenance - Google Photos</v>
      </c>
      <c r="L1923" s="20" t="s">
        <v>175</v>
      </c>
      <c r="M1923" s="4"/>
      <c r="N1923" s="2" t="s">
        <v>125</v>
      </c>
      <c r="O1923" s="2"/>
      <c r="P1923" s="4">
        <v>1</v>
      </c>
      <c r="Q1923" s="2" t="s">
        <v>1899</v>
      </c>
      <c r="R1923" s="11">
        <f>SUBTOTAL(3,_xlfn.SINGLE(tbl_file[RowId]))</f>
        <v>1</v>
      </c>
    </row>
    <row r="1924" spans="10:18">
      <c r="J1924" s="4">
        <v>1077</v>
      </c>
      <c r="K1924" s="21" t="str">
        <f>HYPERLINK("obsidian://open?vault=o2&amp;file=Photo%20in%20Home%20Maintenance%20-%20Google%20Photos.md","Photo in Home Maintenance - Google Photos")</f>
        <v>Photo in Home Maintenance - Google Photos</v>
      </c>
      <c r="L1924" s="20" t="s">
        <v>175</v>
      </c>
      <c r="M1924" s="4"/>
      <c r="N1924" s="2" t="s">
        <v>2606</v>
      </c>
      <c r="O1924" s="2"/>
      <c r="P1924" s="4">
        <v>1</v>
      </c>
      <c r="Q1924" s="2" t="s">
        <v>2537</v>
      </c>
      <c r="R1924" s="11">
        <f>SUBTOTAL(3,_xlfn.SINGLE(tbl_file[RowId]))</f>
        <v>1</v>
      </c>
    </row>
    <row r="1925" spans="10:18">
      <c r="J1925" s="4">
        <v>2191</v>
      </c>
      <c r="K1925" s="21" t="str">
        <f>HYPERLINK("obsidian://open?vault=o2&amp;file=Physical%20Address%20OSINT.md","Physical Address OSINT")</f>
        <v>Physical Address OSINT</v>
      </c>
      <c r="L1925" s="20" t="s">
        <v>175</v>
      </c>
      <c r="M1925" s="4"/>
      <c r="N1925" s="2" t="s">
        <v>50</v>
      </c>
      <c r="O1925" s="2"/>
      <c r="P1925" s="4">
        <v>1</v>
      </c>
      <c r="Q1925" s="2" t="s">
        <v>1448</v>
      </c>
      <c r="R1925" s="11">
        <f>SUBTOTAL(3,_xlfn.SINGLE(tbl_file[RowId]))</f>
        <v>1</v>
      </c>
    </row>
    <row r="1926" spans="10:18">
      <c r="J1926" s="4">
        <v>2192</v>
      </c>
      <c r="K1926" s="21" t="str">
        <f>HYPERLINK("obsidian://open?vault=o2&amp;file=Physical%20Address%20OSINT.md","Physical Address OSINT")</f>
        <v>Physical Address OSINT</v>
      </c>
      <c r="L1926" s="20" t="s">
        <v>175</v>
      </c>
      <c r="M1926" s="4"/>
      <c r="N1926" s="2" t="s">
        <v>2606</v>
      </c>
      <c r="O1926" s="2"/>
      <c r="P1926" s="4">
        <v>2</v>
      </c>
      <c r="Q1926" s="2" t="s">
        <v>3084</v>
      </c>
      <c r="R1926" s="11">
        <f>SUBTOTAL(3,_xlfn.SINGLE(tbl_file[RowId]))</f>
        <v>1</v>
      </c>
    </row>
    <row r="1927" spans="10:18">
      <c r="J1927" s="4">
        <v>2193</v>
      </c>
      <c r="K1927" s="21" t="str">
        <f>HYPERLINK("obsidian://open?vault=o2&amp;file=Physical%20Address%20OSINT.md","Physical Address OSINT")</f>
        <v>Physical Address OSINT</v>
      </c>
      <c r="L1927" s="20" t="s">
        <v>175</v>
      </c>
      <c r="M1927" s="4"/>
      <c r="N1927" s="2" t="s">
        <v>133</v>
      </c>
      <c r="O1927" s="2"/>
      <c r="P1927" s="4">
        <v>1</v>
      </c>
      <c r="Q1927" s="2" t="s">
        <v>2622</v>
      </c>
      <c r="R1927" s="11">
        <f>SUBTOTAL(3,_xlfn.SINGLE(tbl_file[RowId]))</f>
        <v>1</v>
      </c>
    </row>
    <row r="1928" spans="10:18">
      <c r="J1928" s="4">
        <v>508</v>
      </c>
      <c r="K1928" s="21" t="str">
        <f t="shared" ref="K1928:K1934" si="69">HYPERLINK("obsidian://open?vault=o2&amp;file=Physical%20Fitness%20Workout%20Plan.md","Physical Fitness Workout Plan")</f>
        <v>Physical Fitness Workout Plan</v>
      </c>
      <c r="L1928" s="20" t="s">
        <v>175</v>
      </c>
      <c r="M1928" s="4"/>
      <c r="N1928" s="2" t="s">
        <v>48</v>
      </c>
      <c r="O1928" s="2"/>
      <c r="P1928" s="4">
        <v>1</v>
      </c>
      <c r="Q1928" s="2"/>
      <c r="R1928" s="11">
        <f>SUBTOTAL(3,_xlfn.SINGLE(tbl_file[RowId]))</f>
        <v>1</v>
      </c>
    </row>
    <row r="1929" spans="10:18">
      <c r="J1929" s="4">
        <v>509</v>
      </c>
      <c r="K1929" s="21" t="str">
        <f t="shared" si="69"/>
        <v>Physical Fitness Workout Plan</v>
      </c>
      <c r="L1929" s="20" t="s">
        <v>175</v>
      </c>
      <c r="M1929" s="4"/>
      <c r="N1929" s="2" t="s">
        <v>50</v>
      </c>
      <c r="O1929" s="2"/>
      <c r="P1929" s="4">
        <v>1</v>
      </c>
      <c r="Q1929" s="2" t="s">
        <v>2634</v>
      </c>
      <c r="R1929" s="11">
        <f>SUBTOTAL(3,_xlfn.SINGLE(tbl_file[RowId]))</f>
        <v>1</v>
      </c>
    </row>
    <row r="1930" spans="10:18">
      <c r="J1930" s="4">
        <v>510</v>
      </c>
      <c r="K1930" s="21" t="str">
        <f t="shared" si="69"/>
        <v>Physical Fitness Workout Plan</v>
      </c>
      <c r="L1930" s="20" t="s">
        <v>175</v>
      </c>
      <c r="M1930" s="4"/>
      <c r="N1930" s="2" t="s">
        <v>118</v>
      </c>
      <c r="O1930" s="2"/>
      <c r="P1930" s="4">
        <v>1</v>
      </c>
      <c r="Q1930" s="2" t="s">
        <v>1641</v>
      </c>
      <c r="R1930" s="11">
        <f>SUBTOTAL(3,_xlfn.SINGLE(tbl_file[RowId]))</f>
        <v>1</v>
      </c>
    </row>
    <row r="1931" spans="10:18">
      <c r="J1931" s="4">
        <v>511</v>
      </c>
      <c r="K1931" s="21" t="str">
        <f t="shared" si="69"/>
        <v>Physical Fitness Workout Plan</v>
      </c>
      <c r="L1931" s="20" t="s">
        <v>175</v>
      </c>
      <c r="M1931" s="4"/>
      <c r="N1931" s="2" t="s">
        <v>123</v>
      </c>
      <c r="O1931" s="2" t="s">
        <v>2635</v>
      </c>
      <c r="P1931" s="4">
        <v>1</v>
      </c>
      <c r="Q1931" s="2" t="s">
        <v>1564</v>
      </c>
      <c r="R1931" s="11">
        <f>SUBTOTAL(3,_xlfn.SINGLE(tbl_file[RowId]))</f>
        <v>1</v>
      </c>
    </row>
    <row r="1932" spans="10:18">
      <c r="J1932" s="4">
        <v>512</v>
      </c>
      <c r="K1932" s="21" t="str">
        <f t="shared" si="69"/>
        <v>Physical Fitness Workout Plan</v>
      </c>
      <c r="L1932" s="20" t="s">
        <v>175</v>
      </c>
      <c r="M1932" s="4"/>
      <c r="N1932" s="2" t="s">
        <v>127</v>
      </c>
      <c r="O1932" s="2"/>
      <c r="P1932" s="4">
        <v>1</v>
      </c>
      <c r="Q1932" s="2" t="s">
        <v>1956</v>
      </c>
      <c r="R1932" s="11">
        <f>SUBTOTAL(3,_xlfn.SINGLE(tbl_file[RowId]))</f>
        <v>1</v>
      </c>
    </row>
    <row r="1933" spans="10:18">
      <c r="J1933" s="4">
        <v>513</v>
      </c>
      <c r="K1933" s="21" t="str">
        <f t="shared" si="69"/>
        <v>Physical Fitness Workout Plan</v>
      </c>
      <c r="L1933" s="20" t="s">
        <v>175</v>
      </c>
      <c r="M1933" s="4"/>
      <c r="N1933" s="2" t="s">
        <v>2606</v>
      </c>
      <c r="O1933" s="2"/>
      <c r="P1933" s="4">
        <v>1</v>
      </c>
      <c r="Q1933" s="2" t="s">
        <v>2416</v>
      </c>
      <c r="R1933" s="11">
        <f>SUBTOTAL(3,_xlfn.SINGLE(tbl_file[RowId]))</f>
        <v>1</v>
      </c>
    </row>
    <row r="1934" spans="10:18">
      <c r="J1934" s="4">
        <v>514</v>
      </c>
      <c r="K1934" s="21" t="str">
        <f t="shared" si="69"/>
        <v>Physical Fitness Workout Plan</v>
      </c>
      <c r="L1934" s="20" t="s">
        <v>175</v>
      </c>
      <c r="M1934" s="4"/>
      <c r="N1934" s="2" t="s">
        <v>133</v>
      </c>
      <c r="O1934" s="2" t="s">
        <v>2637</v>
      </c>
      <c r="P1934" s="4">
        <v>1</v>
      </c>
      <c r="Q1934" s="2" t="s">
        <v>2113</v>
      </c>
      <c r="R1934" s="11">
        <f>SUBTOTAL(3,_xlfn.SINGLE(tbl_file[RowId]))</f>
        <v>1</v>
      </c>
    </row>
    <row r="1935" spans="10:18">
      <c r="J1935" s="4">
        <v>2179</v>
      </c>
      <c r="K1935" s="21" t="str">
        <f>HYPERLINK("obsidian://open?vault=o2&amp;file=PKM%20Code%20Framework.md","PKM Code Framework")</f>
        <v>PKM Code Framework</v>
      </c>
      <c r="L1935" s="20" t="s">
        <v>175</v>
      </c>
      <c r="M1935" s="4"/>
      <c r="N1935" s="2" t="s">
        <v>50</v>
      </c>
      <c r="O1935" s="2"/>
      <c r="P1935" s="4">
        <v>1</v>
      </c>
      <c r="Q1935" s="2" t="s">
        <v>1436</v>
      </c>
      <c r="R1935" s="11">
        <f>SUBTOTAL(3,_xlfn.SINGLE(tbl_file[RowId]))</f>
        <v>1</v>
      </c>
    </row>
    <row r="1936" spans="10:18">
      <c r="J1936" s="4">
        <v>2180</v>
      </c>
      <c r="K1936" s="21" t="str">
        <f>HYPERLINK("obsidian://open?vault=o2&amp;file=PKM%20Code%20Framework.md","PKM Code Framework")</f>
        <v>PKM Code Framework</v>
      </c>
      <c r="L1936" s="20" t="s">
        <v>175</v>
      </c>
      <c r="M1936" s="4"/>
      <c r="N1936" s="2" t="s">
        <v>127</v>
      </c>
      <c r="O1936" s="2"/>
      <c r="P1936" s="4">
        <v>1</v>
      </c>
      <c r="Q1936" s="2" t="s">
        <v>1934</v>
      </c>
      <c r="R1936" s="11">
        <f>SUBTOTAL(3,_xlfn.SINGLE(tbl_file[RowId]))</f>
        <v>1</v>
      </c>
    </row>
    <row r="1937" spans="10:18">
      <c r="J1937" s="4">
        <v>2178</v>
      </c>
      <c r="K1937" s="21" t="str">
        <f>HYPERLINK("obsidian://open?vault=o2&amp;file=PKM%20Code%20Framework%20in%20Obsidian%20MD.md","PKM Code Framework in Obsidian MD")</f>
        <v>PKM Code Framework in Obsidian MD</v>
      </c>
      <c r="L1937" s="20" t="s">
        <v>175</v>
      </c>
      <c r="M1937" s="4"/>
      <c r="N1937" s="2" t="s">
        <v>50</v>
      </c>
      <c r="O1937" s="2"/>
      <c r="P1937" s="4">
        <v>1</v>
      </c>
      <c r="Q1937" s="2" t="s">
        <v>1450</v>
      </c>
      <c r="R1937" s="11">
        <f>SUBTOTAL(3,_xlfn.SINGLE(tbl_file[RowId]))</f>
        <v>1</v>
      </c>
    </row>
    <row r="1938" spans="10:18">
      <c r="J1938" s="4">
        <v>2181</v>
      </c>
      <c r="K1938" s="21" t="str">
        <f>HYPERLINK("obsidian://open?vault=o2&amp;file=PKM%20Maintenance.md","PKM Maintenance")</f>
        <v>PKM Maintenance</v>
      </c>
      <c r="L1938" s="20" t="s">
        <v>175</v>
      </c>
      <c r="M1938" s="4"/>
      <c r="N1938" s="2" t="s">
        <v>50</v>
      </c>
      <c r="O1938" s="2"/>
      <c r="P1938" s="4">
        <v>1</v>
      </c>
      <c r="Q1938" s="2" t="s">
        <v>1436</v>
      </c>
      <c r="R1938" s="11">
        <f>SUBTOTAL(3,_xlfn.SINGLE(tbl_file[RowId]))</f>
        <v>1</v>
      </c>
    </row>
    <row r="1939" spans="10:18">
      <c r="J1939" s="4">
        <v>6</v>
      </c>
      <c r="K1939" s="21" t="str">
        <f>HYPERLINK("obsidian://open?vault=o2&amp;file=Planet%20Fitness%20Membership.md","Planet Fitness Membership")</f>
        <v>Planet Fitness Membership</v>
      </c>
      <c r="L1939" s="20" t="s">
        <v>175</v>
      </c>
      <c r="M1939" s="4"/>
      <c r="N1939" s="2" t="s">
        <v>50</v>
      </c>
      <c r="O1939" s="2"/>
      <c r="P1939" s="4">
        <v>1</v>
      </c>
      <c r="Q1939" s="2" t="s">
        <v>270</v>
      </c>
      <c r="R1939" s="11">
        <f>SUBTOTAL(3,_xlfn.SINGLE(tbl_file[RowId]))</f>
        <v>1</v>
      </c>
    </row>
    <row r="1940" spans="10:18">
      <c r="J1940" s="4">
        <v>7</v>
      </c>
      <c r="K1940" s="21" t="str">
        <f>HYPERLINK("obsidian://open?vault=o2&amp;file=Planet%20Fitness%20Membership.md","Planet Fitness Membership")</f>
        <v>Planet Fitness Membership</v>
      </c>
      <c r="L1940" s="20" t="s">
        <v>175</v>
      </c>
      <c r="M1940" s="4"/>
      <c r="N1940" s="2" t="s">
        <v>2606</v>
      </c>
      <c r="O1940" s="2"/>
      <c r="P1940" s="4">
        <v>2</v>
      </c>
      <c r="Q1940" s="2" t="s">
        <v>2607</v>
      </c>
      <c r="R1940" s="11">
        <f>SUBTOTAL(3,_xlfn.SINGLE(tbl_file[RowId]))</f>
        <v>1</v>
      </c>
    </row>
    <row r="1941" spans="10:18">
      <c r="J1941" s="4">
        <v>2194</v>
      </c>
      <c r="K1941" s="21" t="str">
        <f>HYPERLINK("obsidian://open?vault=o2&amp;file=Port%20Forwarding%20on%20Xfinity.md","Port Forwarding on Xfinity")</f>
        <v>Port Forwarding on Xfinity</v>
      </c>
      <c r="L1941" s="20" t="s">
        <v>175</v>
      </c>
      <c r="M1941" s="4"/>
      <c r="N1941" s="2" t="s">
        <v>50</v>
      </c>
      <c r="O1941" s="2"/>
      <c r="P1941" s="4">
        <v>2</v>
      </c>
      <c r="Q1941" s="2" t="s">
        <v>3129</v>
      </c>
      <c r="R1941" s="11">
        <f>SUBTOTAL(3,_xlfn.SINGLE(tbl_file[RowId]))</f>
        <v>1</v>
      </c>
    </row>
    <row r="1942" spans="10:18">
      <c r="J1942" s="4">
        <v>2195</v>
      </c>
      <c r="K1942" s="21" t="str">
        <f>HYPERLINK("obsidian://open?vault=o2&amp;file=Port%20Forwarding%20on%20Xfinity.md","Port Forwarding on Xfinity")</f>
        <v>Port Forwarding on Xfinity</v>
      </c>
      <c r="L1942" s="20" t="s">
        <v>175</v>
      </c>
      <c r="M1942" s="4"/>
      <c r="N1942" s="2" t="s">
        <v>127</v>
      </c>
      <c r="O1942" s="2"/>
      <c r="P1942" s="4">
        <v>1</v>
      </c>
      <c r="Q1942" s="2" t="s">
        <v>1960</v>
      </c>
      <c r="R1942" s="11">
        <f>SUBTOTAL(3,_xlfn.SINGLE(tbl_file[RowId]))</f>
        <v>1</v>
      </c>
    </row>
    <row r="1943" spans="10:18">
      <c r="J1943" s="4">
        <v>2196</v>
      </c>
      <c r="K1943" s="21" t="str">
        <f>HYPERLINK("obsidian://open?vault=o2&amp;file=Port%20Forwarding%20on%20Xfinity.md","Port Forwarding on Xfinity")</f>
        <v>Port Forwarding on Xfinity</v>
      </c>
      <c r="L1943" s="20" t="s">
        <v>175</v>
      </c>
      <c r="M1943" s="4"/>
      <c r="N1943" s="2" t="s">
        <v>2606</v>
      </c>
      <c r="O1943" s="2"/>
      <c r="P1943" s="4">
        <v>4</v>
      </c>
      <c r="Q1943" s="2" t="s">
        <v>3105</v>
      </c>
      <c r="R1943" s="11">
        <f>SUBTOTAL(3,_xlfn.SINGLE(tbl_file[RowId]))</f>
        <v>1</v>
      </c>
    </row>
    <row r="1944" spans="10:18">
      <c r="J1944" s="4">
        <v>2197</v>
      </c>
      <c r="K1944" s="21" t="str">
        <f>HYPERLINK("obsidian://open?vault=o2&amp;file=Port%20Forwarding%20on%20Xfinity.md","Port Forwarding on Xfinity")</f>
        <v>Port Forwarding on Xfinity</v>
      </c>
      <c r="L1944" s="20" t="s">
        <v>175</v>
      </c>
      <c r="M1944" s="4"/>
      <c r="N1944" s="2" t="s">
        <v>133</v>
      </c>
      <c r="O1944" s="2"/>
      <c r="P1944" s="4">
        <v>1</v>
      </c>
      <c r="Q1944" s="2" t="s">
        <v>2107</v>
      </c>
      <c r="R1944" s="11">
        <f>SUBTOTAL(3,_xlfn.SINGLE(tbl_file[RowId]))</f>
        <v>1</v>
      </c>
    </row>
    <row r="1945" spans="10:18">
      <c r="J1945" s="4">
        <v>2198</v>
      </c>
      <c r="K1945" s="21" t="str">
        <f>HYPERLINK("obsidian://open?vault=o2&amp;file=Prism%20Mark%20Syntax%20for%20Colors.md","Prism Mark Syntax for Colors")</f>
        <v>Prism Mark Syntax for Colors</v>
      </c>
      <c r="L1945" s="20" t="s">
        <v>175</v>
      </c>
      <c r="M1945" s="4"/>
      <c r="N1945" s="2" t="s">
        <v>50</v>
      </c>
      <c r="O1945" s="2"/>
      <c r="P1945" s="4">
        <v>1</v>
      </c>
      <c r="Q1945" s="2" t="s">
        <v>1540</v>
      </c>
      <c r="R1945" s="11">
        <f>SUBTOTAL(3,_xlfn.SINGLE(tbl_file[RowId]))</f>
        <v>1</v>
      </c>
    </row>
    <row r="1946" spans="10:18">
      <c r="J1946" s="4">
        <v>2199</v>
      </c>
      <c r="K1946" s="21" t="str">
        <f>HYPERLINK("obsidian://open?vault=o2&amp;file=Prism%20Mark%20Syntax%20for%20Colors.md","Prism Mark Syntax for Colors")</f>
        <v>Prism Mark Syntax for Colors</v>
      </c>
      <c r="L1946" s="20" t="s">
        <v>175</v>
      </c>
      <c r="M1946" s="4"/>
      <c r="N1946" s="2" t="s">
        <v>127</v>
      </c>
      <c r="O1946" s="2"/>
      <c r="P1946" s="4">
        <v>1</v>
      </c>
      <c r="Q1946" s="2" t="s">
        <v>1958</v>
      </c>
      <c r="R1946" s="11">
        <f>SUBTOTAL(3,_xlfn.SINGLE(tbl_file[RowId]))</f>
        <v>1</v>
      </c>
    </row>
    <row r="1947" spans="10:18">
      <c r="J1947" s="4">
        <v>2200</v>
      </c>
      <c r="K1947" s="21" t="str">
        <f>HYPERLINK("obsidian://open?vault=o2&amp;file=Prism%20Mark%20Syntax%20for%20Colors.md","Prism Mark Syntax for Colors")</f>
        <v>Prism Mark Syntax for Colors</v>
      </c>
      <c r="L1947" s="20" t="s">
        <v>175</v>
      </c>
      <c r="M1947" s="4"/>
      <c r="N1947" s="2" t="s">
        <v>2606</v>
      </c>
      <c r="O1947" s="2"/>
      <c r="P1947" s="4">
        <v>4</v>
      </c>
      <c r="Q1947" s="2" t="s">
        <v>2642</v>
      </c>
      <c r="R1947" s="11">
        <f>SUBTOTAL(3,_xlfn.SINGLE(tbl_file[RowId]))</f>
        <v>1</v>
      </c>
    </row>
    <row r="1948" spans="10:18">
      <c r="J1948" s="4">
        <v>2201</v>
      </c>
      <c r="K1948" s="21" t="str">
        <f>HYPERLINK("obsidian://open?vault=o2&amp;file=Prism%20Mark%20Syntax%20for%20Colors.md","Prism Mark Syntax for Colors")</f>
        <v>Prism Mark Syntax for Colors</v>
      </c>
      <c r="L1948" s="20" t="s">
        <v>175</v>
      </c>
      <c r="M1948" s="4"/>
      <c r="N1948" s="2" t="s">
        <v>133</v>
      </c>
      <c r="O1948" s="2"/>
      <c r="P1948" s="4">
        <v>1</v>
      </c>
      <c r="Q1948" s="2" t="s">
        <v>2614</v>
      </c>
      <c r="R1948" s="11">
        <f>SUBTOTAL(3,_xlfn.SINGLE(tbl_file[RowId]))</f>
        <v>1</v>
      </c>
    </row>
    <row r="1949" spans="10:18">
      <c r="J1949" s="4">
        <v>2202</v>
      </c>
      <c r="K1949" s="21" t="str">
        <f>HYPERLINK("obsidian://open?vault=o2&amp;file=Progressive%20Summarization.md","Progressive Summarization")</f>
        <v>Progressive Summarization</v>
      </c>
      <c r="L1949" s="20" t="s">
        <v>175</v>
      </c>
      <c r="M1949" s="4"/>
      <c r="N1949" s="2" t="s">
        <v>50</v>
      </c>
      <c r="O1949" s="2"/>
      <c r="P1949" s="4">
        <v>1</v>
      </c>
      <c r="Q1949" s="2" t="s">
        <v>1484</v>
      </c>
      <c r="R1949" s="11">
        <f>SUBTOTAL(3,_xlfn.SINGLE(tbl_file[RowId]))</f>
        <v>1</v>
      </c>
    </row>
    <row r="1950" spans="10:18">
      <c r="J1950" s="4">
        <v>2598</v>
      </c>
      <c r="K1950" s="21" t="str">
        <f t="shared" ref="K1950:K1956" si="70">HYPERLINK("obsidian://open?vault=o2&amp;file=Project%20Template.md","Project Template")</f>
        <v>Project Template</v>
      </c>
      <c r="L1950" s="20" t="s">
        <v>175</v>
      </c>
      <c r="M1950" s="4"/>
      <c r="N1950" s="2" t="s">
        <v>21</v>
      </c>
      <c r="O1950" s="2"/>
      <c r="P1950" s="4">
        <v>2</v>
      </c>
      <c r="Q1950" s="2" t="s">
        <v>2644</v>
      </c>
      <c r="R1950" s="11">
        <f>SUBTOTAL(3,_xlfn.SINGLE(tbl_file[RowId]))</f>
        <v>1</v>
      </c>
    </row>
    <row r="1951" spans="10:18">
      <c r="J1951" s="4">
        <v>2599</v>
      </c>
      <c r="K1951" s="21" t="str">
        <f t="shared" si="70"/>
        <v>Project Template</v>
      </c>
      <c r="L1951" s="20" t="s">
        <v>175</v>
      </c>
      <c r="M1951" s="4"/>
      <c r="N1951" s="2" t="s">
        <v>31</v>
      </c>
      <c r="O1951" s="2" t="s">
        <v>2645</v>
      </c>
      <c r="P1951" s="4">
        <v>1</v>
      </c>
      <c r="Q1951" s="2" t="s">
        <v>2634</v>
      </c>
      <c r="R1951" s="11">
        <f>SUBTOTAL(3,_xlfn.SINGLE(tbl_file[RowId]))</f>
        <v>1</v>
      </c>
    </row>
    <row r="1952" spans="10:18">
      <c r="J1952" s="4">
        <v>2600</v>
      </c>
      <c r="K1952" s="21" t="str">
        <f t="shared" si="70"/>
        <v>Project Template</v>
      </c>
      <c r="L1952" s="20" t="s">
        <v>175</v>
      </c>
      <c r="M1952" s="4"/>
      <c r="N1952" s="2" t="s">
        <v>50</v>
      </c>
      <c r="O1952" s="2" t="s">
        <v>2646</v>
      </c>
      <c r="P1952" s="4">
        <v>1</v>
      </c>
      <c r="Q1952" s="2" t="s">
        <v>1598</v>
      </c>
      <c r="R1952" s="11">
        <f>SUBTOTAL(3,_xlfn.SINGLE(tbl_file[RowId]))</f>
        <v>1</v>
      </c>
    </row>
    <row r="1953" spans="10:18">
      <c r="J1953" s="4">
        <v>2601</v>
      </c>
      <c r="K1953" s="21" t="str">
        <f t="shared" si="70"/>
        <v>Project Template</v>
      </c>
      <c r="L1953" s="20" t="s">
        <v>175</v>
      </c>
      <c r="M1953" s="4"/>
      <c r="N1953" s="2" t="s">
        <v>123</v>
      </c>
      <c r="O1953" s="2" t="s">
        <v>2635</v>
      </c>
      <c r="P1953" s="4">
        <v>1</v>
      </c>
      <c r="Q1953" s="2" t="s">
        <v>1492</v>
      </c>
      <c r="R1953" s="11">
        <f>SUBTOTAL(3,_xlfn.SINGLE(tbl_file[RowId]))</f>
        <v>1</v>
      </c>
    </row>
    <row r="1954" spans="10:18">
      <c r="J1954" s="4">
        <v>2602</v>
      </c>
      <c r="K1954" s="21" t="str">
        <f t="shared" si="70"/>
        <v>Project Template</v>
      </c>
      <c r="L1954" s="20" t="s">
        <v>175</v>
      </c>
      <c r="M1954" s="4"/>
      <c r="N1954" s="2" t="s">
        <v>127</v>
      </c>
      <c r="O1954" s="2"/>
      <c r="P1954" s="4">
        <v>1</v>
      </c>
      <c r="Q1954" s="2" t="s">
        <v>1938</v>
      </c>
      <c r="R1954" s="11">
        <f>SUBTOTAL(3,_xlfn.SINGLE(tbl_file[RowId]))</f>
        <v>1</v>
      </c>
    </row>
    <row r="1955" spans="10:18">
      <c r="J1955" s="4">
        <v>2603</v>
      </c>
      <c r="K1955" s="21" t="str">
        <f t="shared" si="70"/>
        <v>Project Template</v>
      </c>
      <c r="L1955" s="20" t="s">
        <v>175</v>
      </c>
      <c r="M1955" s="4"/>
      <c r="N1955" s="2" t="s">
        <v>2606</v>
      </c>
      <c r="O1955" s="2" t="s">
        <v>2261</v>
      </c>
      <c r="P1955" s="4">
        <v>2</v>
      </c>
      <c r="Q1955" s="2" t="s">
        <v>2610</v>
      </c>
      <c r="R1955" s="11">
        <f>SUBTOTAL(3,_xlfn.SINGLE(tbl_file[RowId]))</f>
        <v>1</v>
      </c>
    </row>
    <row r="1956" spans="10:18">
      <c r="J1956" s="4">
        <v>2604</v>
      </c>
      <c r="K1956" s="21" t="str">
        <f t="shared" si="70"/>
        <v>Project Template</v>
      </c>
      <c r="L1956" s="20" t="s">
        <v>175</v>
      </c>
      <c r="M1956" s="4"/>
      <c r="N1956" s="2" t="s">
        <v>133</v>
      </c>
      <c r="O1956" s="2" t="s">
        <v>2637</v>
      </c>
      <c r="P1956" s="4">
        <v>1</v>
      </c>
      <c r="Q1956" s="2" t="s">
        <v>2142</v>
      </c>
      <c r="R1956" s="11">
        <f>SUBTOTAL(3,_xlfn.SINGLE(tbl_file[RowId]))</f>
        <v>1</v>
      </c>
    </row>
    <row r="1957" spans="10:18">
      <c r="J1957" s="4">
        <v>2203</v>
      </c>
      <c r="K1957" s="21" t="str">
        <f>HYPERLINK("obsidian://open?vault=o2&amp;file=Project%20Workflow%20Checklists.md","Project Workflow Checklists")</f>
        <v>Project Workflow Checklists</v>
      </c>
      <c r="L1957" s="20" t="s">
        <v>175</v>
      </c>
      <c r="M1957" s="4"/>
      <c r="N1957" s="2" t="s">
        <v>50</v>
      </c>
      <c r="O1957" s="2"/>
      <c r="P1957" s="4">
        <v>1</v>
      </c>
      <c r="Q1957" s="2" t="s">
        <v>1542</v>
      </c>
      <c r="R1957" s="11">
        <f>SUBTOTAL(3,_xlfn.SINGLE(tbl_file[RowId]))</f>
        <v>1</v>
      </c>
    </row>
    <row r="1958" spans="10:18">
      <c r="J1958" s="4">
        <v>454</v>
      </c>
      <c r="K1958" s="21" t="str">
        <f>HYPERLINK("obsidian://open?vault=o2&amp;file=projects.md","projects")</f>
        <v>projects</v>
      </c>
      <c r="L1958" s="20" t="s">
        <v>175</v>
      </c>
      <c r="M1958" s="4"/>
      <c r="N1958" s="2" t="s">
        <v>44</v>
      </c>
      <c r="O1958" s="2"/>
      <c r="P1958" s="4">
        <v>1</v>
      </c>
      <c r="Q1958" s="2" t="s">
        <v>608</v>
      </c>
      <c r="R1958" s="11">
        <f>SUBTOTAL(3,_xlfn.SINGLE(tbl_file[RowId]))</f>
        <v>1</v>
      </c>
    </row>
    <row r="1959" spans="10:18">
      <c r="J1959" s="4">
        <v>455</v>
      </c>
      <c r="K1959" s="21" t="str">
        <f>HYPERLINK("obsidian://open?vault=o2&amp;file=projects.md","projects")</f>
        <v>projects</v>
      </c>
      <c r="L1959" s="20" t="s">
        <v>175</v>
      </c>
      <c r="M1959" s="4"/>
      <c r="N1959" s="2" t="s">
        <v>49</v>
      </c>
      <c r="O1959" s="2"/>
      <c r="P1959" s="4">
        <v>1</v>
      </c>
      <c r="Q1959" s="2" t="s">
        <v>2692</v>
      </c>
      <c r="R1959" s="11">
        <f>SUBTOTAL(3,_xlfn.SINGLE(tbl_file[RowId]))</f>
        <v>1</v>
      </c>
    </row>
    <row r="1960" spans="10:18">
      <c r="J1960" s="4">
        <v>456</v>
      </c>
      <c r="K1960" s="21" t="str">
        <f>HYPERLINK("obsidian://open?vault=o2&amp;file=projects.md","projects")</f>
        <v>projects</v>
      </c>
      <c r="L1960" s="20" t="s">
        <v>175</v>
      </c>
      <c r="M1960" s="4"/>
      <c r="N1960" s="2" t="s">
        <v>51</v>
      </c>
      <c r="O1960" s="2"/>
      <c r="P1960" s="4">
        <v>1</v>
      </c>
      <c r="Q1960" s="2" t="s">
        <v>2667</v>
      </c>
      <c r="R1960" s="11">
        <f>SUBTOTAL(3,_xlfn.SINGLE(tbl_file[RowId]))</f>
        <v>1</v>
      </c>
    </row>
    <row r="1961" spans="10:18">
      <c r="J1961" s="4">
        <v>457</v>
      </c>
      <c r="K1961" s="21" t="str">
        <f>HYPERLINK("obsidian://open?vault=o2&amp;file=projects.md","projects")</f>
        <v>projects</v>
      </c>
      <c r="L1961" s="20" t="s">
        <v>175</v>
      </c>
      <c r="M1961" s="4" t="s">
        <v>2626</v>
      </c>
      <c r="N1961" s="2" t="s">
        <v>2606</v>
      </c>
      <c r="O1961" s="2"/>
      <c r="P1961" s="4">
        <v>1</v>
      </c>
      <c r="Q1961" s="2" t="s">
        <v>2271</v>
      </c>
      <c r="R1961" s="11">
        <f>SUBTOTAL(3,_xlfn.SINGLE(tbl_file[RowId]))</f>
        <v>1</v>
      </c>
    </row>
    <row r="1962" spans="10:18">
      <c r="J1962" s="4">
        <v>1078</v>
      </c>
      <c r="K1962" s="21" t="str">
        <f>HYPERLINK("obsidian://open?vault=o2&amp;file=Provider%20Search%20Results%20%20Find%20Care.md","Provider Search Results  Find Care")</f>
        <v>Provider Search Results  Find Care</v>
      </c>
      <c r="L1962" s="20" t="s">
        <v>175</v>
      </c>
      <c r="M1962" s="4"/>
      <c r="N1962" s="2" t="s">
        <v>19</v>
      </c>
      <c r="O1962" s="2"/>
      <c r="P1962" s="4">
        <v>1</v>
      </c>
      <c r="Q1962" s="2" t="s">
        <v>408</v>
      </c>
      <c r="R1962" s="11">
        <f>SUBTOTAL(3,_xlfn.SINGLE(tbl_file[RowId]))</f>
        <v>1</v>
      </c>
    </row>
    <row r="1963" spans="10:18">
      <c r="J1963" s="4">
        <v>1079</v>
      </c>
      <c r="K1963" s="21" t="str">
        <f>HYPERLINK("obsidian://open?vault=o2&amp;file=Provider%20Search%20Results%20%20Find%20Care.md","Provider Search Results  Find Care")</f>
        <v>Provider Search Results  Find Care</v>
      </c>
      <c r="L1963" s="20" t="s">
        <v>175</v>
      </c>
      <c r="M1963" s="4"/>
      <c r="N1963" s="2" t="s">
        <v>125</v>
      </c>
      <c r="O1963" s="2"/>
      <c r="P1963" s="4">
        <v>1</v>
      </c>
      <c r="Q1963" s="2" t="s">
        <v>1913</v>
      </c>
      <c r="R1963" s="11">
        <f>SUBTOTAL(3,_xlfn.SINGLE(tbl_file[RowId]))</f>
        <v>1</v>
      </c>
    </row>
    <row r="1964" spans="10:18">
      <c r="J1964" s="4">
        <v>1080</v>
      </c>
      <c r="K1964" s="21" t="str">
        <f>HYPERLINK("obsidian://open?vault=o2&amp;file=Provider%20Search%20Results%20%20Find%20Care.md","Provider Search Results  Find Care")</f>
        <v>Provider Search Results  Find Care</v>
      </c>
      <c r="L1964" s="20" t="s">
        <v>175</v>
      </c>
      <c r="M1964" s="4"/>
      <c r="N1964" s="2" t="s">
        <v>2606</v>
      </c>
      <c r="O1964" s="2"/>
      <c r="P1964" s="4">
        <v>1</v>
      </c>
      <c r="Q1964" s="2" t="s">
        <v>2537</v>
      </c>
      <c r="R1964" s="11">
        <f>SUBTOTAL(3,_xlfn.SINGLE(tbl_file[RowId]))</f>
        <v>1</v>
      </c>
    </row>
    <row r="1965" spans="10:18">
      <c r="J1965" s="4">
        <v>322</v>
      </c>
      <c r="K1965" s="21" t="str">
        <f>HYPERLINK("obsidian://open?vault=o2&amp;file=Public%20Domain%20Art%20Sources.md","Public Domain Art Sources")</f>
        <v>Public Domain Art Sources</v>
      </c>
      <c r="L1965" s="20" t="s">
        <v>175</v>
      </c>
      <c r="M1965" s="4"/>
      <c r="N1965" s="2" t="s">
        <v>127</v>
      </c>
      <c r="O1965" s="2"/>
      <c r="P1965" s="4">
        <v>1</v>
      </c>
      <c r="Q1965" s="2" t="s">
        <v>1960</v>
      </c>
      <c r="R1965" s="11">
        <f>SUBTOTAL(3,_xlfn.SINGLE(tbl_file[RowId]))</f>
        <v>1</v>
      </c>
    </row>
    <row r="1966" spans="10:18">
      <c r="J1966" s="4">
        <v>323</v>
      </c>
      <c r="K1966" s="21" t="str">
        <f>HYPERLINK("obsidian://open?vault=o2&amp;file=Public%20Domain%20Art%20Sources.md","Public Domain Art Sources")</f>
        <v>Public Domain Art Sources</v>
      </c>
      <c r="L1966" s="20" t="s">
        <v>175</v>
      </c>
      <c r="M1966" s="4"/>
      <c r="N1966" s="2" t="s">
        <v>133</v>
      </c>
      <c r="O1966" s="2"/>
      <c r="P1966" s="4">
        <v>1</v>
      </c>
      <c r="Q1966" s="2" t="s">
        <v>2111</v>
      </c>
      <c r="R1966" s="11">
        <f>SUBTOTAL(3,_xlfn.SINGLE(tbl_file[RowId]))</f>
        <v>1</v>
      </c>
    </row>
    <row r="1967" spans="10:18">
      <c r="J1967" s="4">
        <v>2204</v>
      </c>
      <c r="K1967" s="21" t="str">
        <f>HYPERLINK("obsidian://open?vault=o2&amp;file=Putting%20a%20HALT%20to%20our%20Self-Destructive%20Behaviors%20-%20Pine%20Rest%20Newsroom.md","Putting a HALT to our Self-Destructive Behaviors - Pine Rest Newsroom")</f>
        <v>Putting a HALT to our Self-Destructive Behaviors - Pine Rest Newsroom</v>
      </c>
      <c r="L1967" s="20" t="s">
        <v>175</v>
      </c>
      <c r="M1967" s="4"/>
      <c r="N1967" s="2" t="s">
        <v>33</v>
      </c>
      <c r="O1967" s="2"/>
      <c r="P1967" s="4">
        <v>1</v>
      </c>
      <c r="Q1967" s="2" t="s">
        <v>459</v>
      </c>
      <c r="R1967" s="11">
        <f>SUBTOTAL(3,_xlfn.SINGLE(tbl_file[RowId]))</f>
        <v>1</v>
      </c>
    </row>
    <row r="1968" spans="10:18">
      <c r="J1968" s="4">
        <v>2205</v>
      </c>
      <c r="K1968" s="21" t="str">
        <f>HYPERLINK("obsidian://open?vault=o2&amp;file=Putting%20a%20HALT%20to%20our%20Self-Destructive%20Behaviors%20-%20Pine%20Rest%20Newsroom.md","Putting a HALT to our Self-Destructive Behaviors - Pine Rest Newsroom")</f>
        <v>Putting a HALT to our Self-Destructive Behaviors - Pine Rest Newsroom</v>
      </c>
      <c r="L1968" s="20" t="s">
        <v>175</v>
      </c>
      <c r="M1968" s="4"/>
      <c r="N1968" s="2" t="s">
        <v>46</v>
      </c>
      <c r="O1968" s="2"/>
      <c r="P1968" s="4">
        <v>1</v>
      </c>
      <c r="Q1968" s="2" t="s">
        <v>633</v>
      </c>
      <c r="R1968" s="11">
        <f>SUBTOTAL(3,_xlfn.SINGLE(tbl_file[RowId]))</f>
        <v>1</v>
      </c>
    </row>
    <row r="1969" spans="10:18">
      <c r="J1969" s="4">
        <v>2206</v>
      </c>
      <c r="K1969" s="21" t="str">
        <f>HYPERLINK("obsidian://open?vault=o2&amp;file=Putting%20a%20HALT%20to%20our%20Self-Destructive%20Behaviors%20-%20Pine%20Rest%20Newsroom.md","Putting a HALT to our Self-Destructive Behaviors - Pine Rest Newsroom")</f>
        <v>Putting a HALT to our Self-Destructive Behaviors - Pine Rest Newsroom</v>
      </c>
      <c r="L1969" s="20" t="s">
        <v>175</v>
      </c>
      <c r="M1969" s="4"/>
      <c r="N1969" s="2" t="s">
        <v>132</v>
      </c>
      <c r="O1969" s="2"/>
      <c r="P1969" s="4">
        <v>1</v>
      </c>
      <c r="Q1969" s="2" t="s">
        <v>2074</v>
      </c>
      <c r="R1969" s="11">
        <f>SUBTOTAL(3,_xlfn.SINGLE(tbl_file[RowId]))</f>
        <v>1</v>
      </c>
    </row>
    <row r="1970" spans="10:18">
      <c r="J1970" s="4">
        <v>2207</v>
      </c>
      <c r="K1970" s="21" t="str">
        <f>HYPERLINK("obsidian://open?vault=o2&amp;file=Putting%20a%20HALT%20to%20our%20Self-Destructive%20Behaviors%20-%20Pine%20Rest%20Newsroom.md","Putting a HALT to our Self-Destructive Behaviors - Pine Rest Newsroom")</f>
        <v>Putting a HALT to our Self-Destructive Behaviors - Pine Rest Newsroom</v>
      </c>
      <c r="L1970" s="20" t="s">
        <v>175</v>
      </c>
      <c r="M1970" s="4"/>
      <c r="N1970" s="2" t="s">
        <v>137</v>
      </c>
      <c r="O1970" s="2"/>
      <c r="P1970" s="4">
        <v>1</v>
      </c>
      <c r="Q1970" s="2" t="s">
        <v>2205</v>
      </c>
      <c r="R1970" s="11">
        <f>SUBTOTAL(3,_xlfn.SINGLE(tbl_file[RowId]))</f>
        <v>1</v>
      </c>
    </row>
    <row r="1971" spans="10:18">
      <c r="J1971" s="4">
        <v>1028</v>
      </c>
      <c r="K1971" s="21" t="str">
        <f t="shared" ref="K1971:K1976" si="71">HYPERLINK("obsidian://open?vault=o2&amp;file=Python%20Style%20Guide.md","Python Style Guide")</f>
        <v>Python Style Guide</v>
      </c>
      <c r="L1971" s="20" t="s">
        <v>175</v>
      </c>
      <c r="M1971" s="4"/>
      <c r="N1971" s="2" t="s">
        <v>33</v>
      </c>
      <c r="O1971" s="2"/>
      <c r="P1971" s="4">
        <v>1</v>
      </c>
      <c r="Q1971" s="2" t="s">
        <v>489</v>
      </c>
      <c r="R1971" s="11">
        <f>SUBTOTAL(3,_xlfn.SINGLE(tbl_file[RowId]))</f>
        <v>1</v>
      </c>
    </row>
    <row r="1972" spans="10:18">
      <c r="J1972" s="4">
        <v>1029</v>
      </c>
      <c r="K1972" s="21" t="str">
        <f t="shared" si="71"/>
        <v>Python Style Guide</v>
      </c>
      <c r="L1972" s="20" t="s">
        <v>175</v>
      </c>
      <c r="M1972" s="4"/>
      <c r="N1972" s="2" t="s">
        <v>50</v>
      </c>
      <c r="O1972" s="2"/>
      <c r="P1972" s="4">
        <v>1</v>
      </c>
      <c r="Q1972" s="2" t="s">
        <v>1686</v>
      </c>
      <c r="R1972" s="11">
        <f>SUBTOTAL(3,_xlfn.SINGLE(tbl_file[RowId]))</f>
        <v>1</v>
      </c>
    </row>
    <row r="1973" spans="10:18">
      <c r="J1973" s="4">
        <v>1030</v>
      </c>
      <c r="K1973" s="21" t="str">
        <f t="shared" si="71"/>
        <v>Python Style Guide</v>
      </c>
      <c r="L1973" s="20" t="s">
        <v>175</v>
      </c>
      <c r="M1973" s="4"/>
      <c r="N1973" s="2" t="s">
        <v>2606</v>
      </c>
      <c r="O1973" s="2"/>
      <c r="P1973" s="4">
        <v>3</v>
      </c>
      <c r="Q1973" s="2" t="s">
        <v>2975</v>
      </c>
      <c r="R1973" s="11">
        <f>SUBTOTAL(3,_xlfn.SINGLE(tbl_file[RowId]))</f>
        <v>1</v>
      </c>
    </row>
    <row r="1974" spans="10:18">
      <c r="J1974" s="4">
        <v>1031</v>
      </c>
      <c r="K1974" s="21" t="str">
        <f t="shared" si="71"/>
        <v>Python Style Guide</v>
      </c>
      <c r="L1974" s="20" t="s">
        <v>175</v>
      </c>
      <c r="M1974" s="4"/>
      <c r="N1974" s="2" t="s">
        <v>132</v>
      </c>
      <c r="O1974" s="2"/>
      <c r="P1974" s="4">
        <v>1</v>
      </c>
      <c r="Q1974" s="2" t="s">
        <v>2100</v>
      </c>
      <c r="R1974" s="11">
        <f>SUBTOTAL(3,_xlfn.SINGLE(tbl_file[RowId]))</f>
        <v>1</v>
      </c>
    </row>
    <row r="1975" spans="10:18">
      <c r="J1975" s="4">
        <v>1032</v>
      </c>
      <c r="K1975" s="21" t="str">
        <f t="shared" si="71"/>
        <v>Python Style Guide</v>
      </c>
      <c r="L1975" s="20" t="s">
        <v>175</v>
      </c>
      <c r="M1975" s="4"/>
      <c r="N1975" s="2" t="s">
        <v>137</v>
      </c>
      <c r="O1975" s="2"/>
      <c r="P1975" s="4">
        <v>1</v>
      </c>
      <c r="Q1975" s="2" t="s">
        <v>2165</v>
      </c>
      <c r="R1975" s="11">
        <f>SUBTOTAL(3,_xlfn.SINGLE(tbl_file[RowId]))</f>
        <v>1</v>
      </c>
    </row>
    <row r="1976" spans="10:18">
      <c r="J1976" s="4">
        <v>1033</v>
      </c>
      <c r="K1976" s="21" t="str">
        <f t="shared" si="71"/>
        <v>Python Style Guide</v>
      </c>
      <c r="L1976" s="20" t="s">
        <v>175</v>
      </c>
      <c r="M1976" s="4" t="s">
        <v>2626</v>
      </c>
      <c r="N1976" s="2" t="s">
        <v>2606</v>
      </c>
      <c r="O1976" s="2"/>
      <c r="P1976" s="4">
        <v>18</v>
      </c>
      <c r="Q1976" s="2" t="s">
        <v>2976</v>
      </c>
      <c r="R1976" s="11">
        <f>SUBTOTAL(3,_xlfn.SINGLE(tbl_file[RowId]))</f>
        <v>1</v>
      </c>
    </row>
    <row r="1977" spans="10:18">
      <c r="J1977" s="4">
        <v>2424</v>
      </c>
      <c r="K1977" s="21" t="str">
        <f>HYPERLINK("obsidian://open?vault=o2&amp;file=qBitTorrent%20VPN%20Binding%20Steps.md","qBitTorrent VPN Binding Steps")</f>
        <v>qBitTorrent VPN Binding Steps</v>
      </c>
      <c r="L1977" s="20" t="s">
        <v>175</v>
      </c>
      <c r="M1977" s="4"/>
      <c r="N1977" s="2" t="s">
        <v>133</v>
      </c>
      <c r="O1977" s="2"/>
      <c r="P1977" s="4">
        <v>1</v>
      </c>
      <c r="Q1977" s="2" t="s">
        <v>2622</v>
      </c>
      <c r="R1977" s="11">
        <f>SUBTOTAL(3,_xlfn.SINGLE(tbl_file[RowId]))</f>
        <v>1</v>
      </c>
    </row>
    <row r="1978" spans="10:18">
      <c r="J1978" s="4">
        <v>2444</v>
      </c>
      <c r="K1978" s="21" t="str">
        <f>HYPERLINK("obsidian://open?vault=o2&amp;file=quick.md","quick")</f>
        <v>quick</v>
      </c>
      <c r="L1978" s="20" t="s">
        <v>175</v>
      </c>
      <c r="M1978" s="4"/>
      <c r="N1978" s="2" t="s">
        <v>127</v>
      </c>
      <c r="O1978" s="2"/>
      <c r="P1978" s="4">
        <v>1</v>
      </c>
      <c r="Q1978" s="2" t="s">
        <v>1960</v>
      </c>
      <c r="R1978" s="11">
        <f>SUBTOTAL(3,_xlfn.SINGLE(tbl_file[RowId]))</f>
        <v>1</v>
      </c>
    </row>
    <row r="1979" spans="10:18">
      <c r="J1979" s="4">
        <v>2445</v>
      </c>
      <c r="K1979" s="21" t="str">
        <f>HYPERLINK("obsidian://open?vault=o2&amp;file=quick.md","quick")</f>
        <v>quick</v>
      </c>
      <c r="L1979" s="20" t="s">
        <v>175</v>
      </c>
      <c r="M1979" s="4"/>
      <c r="N1979" s="2" t="s">
        <v>133</v>
      </c>
      <c r="O1979" s="2"/>
      <c r="P1979" s="4">
        <v>1</v>
      </c>
      <c r="Q1979" s="2" t="s">
        <v>2111</v>
      </c>
      <c r="R1979" s="11">
        <f>SUBTOTAL(3,_xlfn.SINGLE(tbl_file[RowId]))</f>
        <v>1</v>
      </c>
    </row>
    <row r="1980" spans="10:18">
      <c r="J1980" s="4">
        <v>463</v>
      </c>
      <c r="K1980" s="21" t="str">
        <f>HYPERLINK("obsidian://open?vault=o2&amp;file=Quick%20Jokes%20for%20Sharing.md","Quick Jokes for Sharing")</f>
        <v>Quick Jokes for Sharing</v>
      </c>
      <c r="L1980" s="20" t="s">
        <v>175</v>
      </c>
      <c r="M1980" s="4"/>
      <c r="N1980" s="2" t="s">
        <v>50</v>
      </c>
      <c r="O1980" s="2"/>
      <c r="P1980" s="4">
        <v>1</v>
      </c>
      <c r="Q1980" s="2" t="s">
        <v>1664</v>
      </c>
      <c r="R1980" s="11">
        <f>SUBTOTAL(3,_xlfn.SINGLE(tbl_file[RowId]))</f>
        <v>1</v>
      </c>
    </row>
    <row r="1981" spans="10:18">
      <c r="J1981" s="4">
        <v>464</v>
      </c>
      <c r="K1981" s="21" t="str">
        <f>HYPERLINK("obsidian://open?vault=o2&amp;file=Quick%20Jokes%20for%20Sharing.md","Quick Jokes for Sharing")</f>
        <v>Quick Jokes for Sharing</v>
      </c>
      <c r="L1981" s="20" t="s">
        <v>175</v>
      </c>
      <c r="M1981" s="4"/>
      <c r="N1981" s="2" t="s">
        <v>127</v>
      </c>
      <c r="O1981" s="2"/>
      <c r="P1981" s="4">
        <v>1</v>
      </c>
      <c r="Q1981" s="2" t="s">
        <v>1958</v>
      </c>
      <c r="R1981" s="11">
        <f>SUBTOTAL(3,_xlfn.SINGLE(tbl_file[RowId]))</f>
        <v>1</v>
      </c>
    </row>
    <row r="1982" spans="10:18">
      <c r="J1982" s="4">
        <v>465</v>
      </c>
      <c r="K1982" s="21" t="str">
        <f>HYPERLINK("obsidian://open?vault=o2&amp;file=Quick%20Jokes%20for%20Sharing.md","Quick Jokes for Sharing")</f>
        <v>Quick Jokes for Sharing</v>
      </c>
      <c r="L1982" s="20" t="s">
        <v>175</v>
      </c>
      <c r="M1982" s="4"/>
      <c r="N1982" s="2" t="s">
        <v>2606</v>
      </c>
      <c r="O1982" s="2"/>
      <c r="P1982" s="4">
        <v>4</v>
      </c>
      <c r="Q1982" s="2" t="s">
        <v>2642</v>
      </c>
      <c r="R1982" s="11">
        <f>SUBTOTAL(3,_xlfn.SINGLE(tbl_file[RowId]))</f>
        <v>1</v>
      </c>
    </row>
    <row r="1983" spans="10:18">
      <c r="J1983" s="4">
        <v>466</v>
      </c>
      <c r="K1983" s="21" t="str">
        <f>HYPERLINK("obsidian://open?vault=o2&amp;file=Quick%20Jokes%20for%20Sharing.md","Quick Jokes for Sharing")</f>
        <v>Quick Jokes for Sharing</v>
      </c>
      <c r="L1983" s="20" t="s">
        <v>175</v>
      </c>
      <c r="M1983" s="4"/>
      <c r="N1983" s="2" t="s">
        <v>133</v>
      </c>
      <c r="O1983" s="2"/>
      <c r="P1983" s="4">
        <v>1</v>
      </c>
      <c r="Q1983" s="2" t="s">
        <v>2614</v>
      </c>
      <c r="R1983" s="11">
        <f>SUBTOTAL(3,_xlfn.SINGLE(tbl_file[RowId]))</f>
        <v>1</v>
      </c>
    </row>
    <row r="1984" spans="10:18">
      <c r="J1984" s="4">
        <v>2208</v>
      </c>
      <c r="K1984" s="21" t="str">
        <f>HYPERLINK("obsidian://open?vault=o2&amp;file=QuickAdd%20Plugin.md","QuickAdd Plugin")</f>
        <v>QuickAdd Plugin</v>
      </c>
      <c r="L1984" s="20" t="s">
        <v>175</v>
      </c>
      <c r="M1984" s="4"/>
      <c r="N1984" s="2" t="s">
        <v>50</v>
      </c>
      <c r="O1984" s="2"/>
      <c r="P1984" s="4">
        <v>1</v>
      </c>
      <c r="Q1984" s="2" t="s">
        <v>1544</v>
      </c>
      <c r="R1984" s="11">
        <f>SUBTOTAL(3,_xlfn.SINGLE(tbl_file[RowId]))</f>
        <v>1</v>
      </c>
    </row>
    <row r="1985" spans="10:18">
      <c r="J1985" s="4">
        <v>2209</v>
      </c>
      <c r="K1985" s="21" t="str">
        <f>HYPERLINK("obsidian://open?vault=o2&amp;file=QuickAdd%20Plugin.md","QuickAdd Plugin")</f>
        <v>QuickAdd Plugin</v>
      </c>
      <c r="L1985" s="20" t="s">
        <v>175</v>
      </c>
      <c r="M1985" s="4"/>
      <c r="N1985" s="2" t="s">
        <v>2606</v>
      </c>
      <c r="O1985" s="2"/>
      <c r="P1985" s="4">
        <v>2</v>
      </c>
      <c r="Q1985" s="2" t="s">
        <v>3130</v>
      </c>
      <c r="R1985" s="11">
        <f>SUBTOTAL(3,_xlfn.SINGLE(tbl_file[RowId]))</f>
        <v>1</v>
      </c>
    </row>
    <row r="1986" spans="10:18">
      <c r="J1986" s="4">
        <v>2457</v>
      </c>
      <c r="K1986" s="21" t="str">
        <f>HYPERLINK("obsidian://open?vault=o2&amp;file=QuickLogOngoing.md","QuickLogOngoing")</f>
        <v>QuickLogOngoing</v>
      </c>
      <c r="L1986" s="20" t="s">
        <v>175</v>
      </c>
      <c r="M1986" s="4"/>
      <c r="N1986" s="2" t="s">
        <v>136</v>
      </c>
      <c r="O1986" s="2" t="s">
        <v>3187</v>
      </c>
      <c r="P1986" s="4">
        <v>1</v>
      </c>
      <c r="Q1986" s="2" t="s">
        <v>418</v>
      </c>
      <c r="R1986" s="11">
        <f>SUBTOTAL(3,_xlfn.SINGLE(tbl_file[RowId]))</f>
        <v>1</v>
      </c>
    </row>
    <row r="1987" spans="10:18">
      <c r="J1987" s="4">
        <v>1318</v>
      </c>
      <c r="K1987" s="21" t="str">
        <f>HYPERLINK("obsidian://open?vault=o2&amp;file=Quotes.md","Quotes")</f>
        <v>Quotes</v>
      </c>
      <c r="L1987" s="20" t="s">
        <v>175</v>
      </c>
      <c r="M1987" s="4"/>
      <c r="N1987" s="2" t="s">
        <v>133</v>
      </c>
      <c r="O1987" s="2"/>
      <c r="P1987" s="4">
        <v>1</v>
      </c>
      <c r="Q1987" s="2" t="s">
        <v>2693</v>
      </c>
      <c r="R1987" s="11">
        <f>SUBTOTAL(3,_xlfn.SINGLE(tbl_file[RowId]))</f>
        <v>1</v>
      </c>
    </row>
    <row r="1988" spans="10:18">
      <c r="J1988" s="4">
        <v>1257</v>
      </c>
      <c r="K1988" s="21" t="str">
        <f>HYPERLINK("obsidian://open?vault=o2&amp;file=Rainmeter.md","Rainmeter")</f>
        <v>Rainmeter</v>
      </c>
      <c r="L1988" s="20" t="s">
        <v>175</v>
      </c>
      <c r="M1988" s="4"/>
      <c r="N1988" s="2" t="s">
        <v>50</v>
      </c>
      <c r="O1988" s="2"/>
      <c r="P1988" s="4">
        <v>1</v>
      </c>
      <c r="Q1988" s="2" t="s">
        <v>1702</v>
      </c>
      <c r="R1988" s="11">
        <f>SUBTOTAL(3,_xlfn.SINGLE(tbl_file[RowId]))</f>
        <v>1</v>
      </c>
    </row>
    <row r="1989" spans="10:18">
      <c r="J1989" s="4">
        <v>1258</v>
      </c>
      <c r="K1989" s="21" t="str">
        <f>HYPERLINK("obsidian://open?vault=o2&amp;file=Rainmeter.md","Rainmeter")</f>
        <v>Rainmeter</v>
      </c>
      <c r="L1989" s="20" t="s">
        <v>175</v>
      </c>
      <c r="M1989" s="4"/>
      <c r="N1989" s="2" t="s">
        <v>2606</v>
      </c>
      <c r="O1989" s="2"/>
      <c r="P1989" s="4">
        <v>2</v>
      </c>
      <c r="Q1989" s="2" t="s">
        <v>3009</v>
      </c>
      <c r="R1989" s="11">
        <f>SUBTOTAL(3,_xlfn.SINGLE(tbl_file[RowId]))</f>
        <v>1</v>
      </c>
    </row>
    <row r="1990" spans="10:18">
      <c r="J1990" s="4">
        <v>1259</v>
      </c>
      <c r="K1990" s="21" t="str">
        <f>HYPERLINK("obsidian://open?vault=o2&amp;file=Rainmeter.md","Rainmeter")</f>
        <v>Rainmeter</v>
      </c>
      <c r="L1990" s="20" t="s">
        <v>175</v>
      </c>
      <c r="M1990" s="4"/>
      <c r="N1990" s="2" t="s">
        <v>133</v>
      </c>
      <c r="O1990" s="2"/>
      <c r="P1990" s="4">
        <v>1</v>
      </c>
      <c r="Q1990" s="2" t="s">
        <v>2107</v>
      </c>
      <c r="R1990" s="11">
        <f>SUBTOTAL(3,_xlfn.SINGLE(tbl_file[RowId]))</f>
        <v>1</v>
      </c>
    </row>
    <row r="1991" spans="10:18">
      <c r="J1991" s="4">
        <v>1034</v>
      </c>
      <c r="K1991" s="21" t="str">
        <f t="shared" ref="K1991:K1996" si="72">HYPERLINK("obsidian://open?vault=o2&amp;file=Random%20packages%20from%20Walmart.md","Random packages from Walmart")</f>
        <v>Random packages from Walmart</v>
      </c>
      <c r="L1991" s="20" t="s">
        <v>175</v>
      </c>
      <c r="M1991" s="4"/>
      <c r="N1991" s="2" t="s">
        <v>10</v>
      </c>
      <c r="O1991" s="2"/>
      <c r="P1991" s="4">
        <v>1</v>
      </c>
      <c r="Q1991" s="2" t="s">
        <v>176</v>
      </c>
      <c r="R1991" s="11">
        <f>SUBTOTAL(3,_xlfn.SINGLE(tbl_file[RowId]))</f>
        <v>1</v>
      </c>
    </row>
    <row r="1992" spans="10:18">
      <c r="J1992" s="4">
        <v>1035</v>
      </c>
      <c r="K1992" s="21" t="str">
        <f t="shared" si="72"/>
        <v>Random packages from Walmart</v>
      </c>
      <c r="L1992" s="20" t="s">
        <v>175</v>
      </c>
      <c r="M1992" s="4"/>
      <c r="N1992" s="2" t="s">
        <v>33</v>
      </c>
      <c r="O1992" s="2"/>
      <c r="P1992" s="4">
        <v>1</v>
      </c>
      <c r="Q1992" s="2" t="s">
        <v>491</v>
      </c>
      <c r="R1992" s="11">
        <f>SUBTOTAL(3,_xlfn.SINGLE(tbl_file[RowId]))</f>
        <v>1</v>
      </c>
    </row>
    <row r="1993" spans="10:18">
      <c r="J1993" s="4">
        <v>1036</v>
      </c>
      <c r="K1993" s="21" t="str">
        <f t="shared" si="72"/>
        <v>Random packages from Walmart</v>
      </c>
      <c r="L1993" s="20" t="s">
        <v>175</v>
      </c>
      <c r="M1993" s="4"/>
      <c r="N1993" s="2" t="s">
        <v>46</v>
      </c>
      <c r="O1993" s="2"/>
      <c r="P1993" s="4">
        <v>1</v>
      </c>
      <c r="Q1993" s="2" t="s">
        <v>2634</v>
      </c>
      <c r="R1993" s="11">
        <f>SUBTOTAL(3,_xlfn.SINGLE(tbl_file[RowId]))</f>
        <v>1</v>
      </c>
    </row>
    <row r="1994" spans="10:18">
      <c r="J1994" s="4">
        <v>1037</v>
      </c>
      <c r="K1994" s="21" t="str">
        <f t="shared" si="72"/>
        <v>Random packages from Walmart</v>
      </c>
      <c r="L1994" s="20" t="s">
        <v>175</v>
      </c>
      <c r="M1994" s="4"/>
      <c r="N1994" s="2" t="s">
        <v>132</v>
      </c>
      <c r="O1994" s="2"/>
      <c r="P1994" s="4">
        <v>1</v>
      </c>
      <c r="Q1994" s="2" t="s">
        <v>2076</v>
      </c>
      <c r="R1994" s="11">
        <f>SUBTOTAL(3,_xlfn.SINGLE(tbl_file[RowId]))</f>
        <v>1</v>
      </c>
    </row>
    <row r="1995" spans="10:18">
      <c r="J1995" s="4">
        <v>1038</v>
      </c>
      <c r="K1995" s="21" t="str">
        <f t="shared" si="72"/>
        <v>Random packages from Walmart</v>
      </c>
      <c r="L1995" s="20" t="s">
        <v>175</v>
      </c>
      <c r="M1995" s="4"/>
      <c r="N1995" s="2" t="s">
        <v>137</v>
      </c>
      <c r="O1995" s="2"/>
      <c r="P1995" s="4">
        <v>1</v>
      </c>
      <c r="Q1995" s="2" t="s">
        <v>2191</v>
      </c>
      <c r="R1995" s="11">
        <f>SUBTOTAL(3,_xlfn.SINGLE(tbl_file[RowId]))</f>
        <v>1</v>
      </c>
    </row>
    <row r="1996" spans="10:18">
      <c r="J1996" s="4">
        <v>1039</v>
      </c>
      <c r="K1996" s="21" t="str">
        <f t="shared" si="72"/>
        <v>Random packages from Walmart</v>
      </c>
      <c r="L1996" s="20" t="s">
        <v>175</v>
      </c>
      <c r="M1996" s="4" t="s">
        <v>2626</v>
      </c>
      <c r="N1996" s="2" t="s">
        <v>2606</v>
      </c>
      <c r="O1996" s="2"/>
      <c r="P1996" s="4">
        <v>1</v>
      </c>
      <c r="Q1996" s="2" t="s">
        <v>2537</v>
      </c>
      <c r="R1996" s="11">
        <f>SUBTOTAL(3,_xlfn.SINGLE(tbl_file[RowId]))</f>
        <v>1</v>
      </c>
    </row>
    <row r="1997" spans="10:18">
      <c r="J1997" s="4">
        <v>2425</v>
      </c>
      <c r="K1997" s="21" t="str">
        <f>HYPERLINK("obsidian://open?vault=o2&amp;file=rAutoHotkey%20-%20Unicode%20fractions.md","rAutoHotkey - Unicode fractions")</f>
        <v>rAutoHotkey - Unicode fractions</v>
      </c>
      <c r="L1997" s="20" t="s">
        <v>175</v>
      </c>
      <c r="M1997" s="4"/>
      <c r="N1997" s="2" t="s">
        <v>33</v>
      </c>
      <c r="O1997" s="2"/>
      <c r="P1997" s="4">
        <v>1</v>
      </c>
      <c r="Q1997" s="2" t="s">
        <v>461</v>
      </c>
      <c r="R1997" s="11">
        <f>SUBTOTAL(3,_xlfn.SINGLE(tbl_file[RowId]))</f>
        <v>1</v>
      </c>
    </row>
    <row r="1998" spans="10:18">
      <c r="J1998" s="4">
        <v>2426</v>
      </c>
      <c r="K1998" s="21" t="str">
        <f>HYPERLINK("obsidian://open?vault=o2&amp;file=rAutoHotkey%20-%20Unicode%20fractions.md","rAutoHotkey - Unicode fractions")</f>
        <v>rAutoHotkey - Unicode fractions</v>
      </c>
      <c r="L1998" s="20" t="s">
        <v>175</v>
      </c>
      <c r="M1998" s="4"/>
      <c r="N1998" s="2" t="s">
        <v>46</v>
      </c>
      <c r="O1998" s="2"/>
      <c r="P1998" s="4">
        <v>1</v>
      </c>
      <c r="Q1998" s="2" t="s">
        <v>2634</v>
      </c>
      <c r="R1998" s="11">
        <f>SUBTOTAL(3,_xlfn.SINGLE(tbl_file[RowId]))</f>
        <v>1</v>
      </c>
    </row>
    <row r="1999" spans="10:18">
      <c r="J1999" s="4">
        <v>2427</v>
      </c>
      <c r="K1999" s="21" t="str">
        <f>HYPERLINK("obsidian://open?vault=o2&amp;file=rAutoHotkey%20-%20Unicode%20fractions.md","rAutoHotkey - Unicode fractions")</f>
        <v>rAutoHotkey - Unicode fractions</v>
      </c>
      <c r="L1999" s="20" t="s">
        <v>175</v>
      </c>
      <c r="M1999" s="4"/>
      <c r="N1999" s="2" t="s">
        <v>132</v>
      </c>
      <c r="O1999" s="2"/>
      <c r="P1999" s="4">
        <v>1</v>
      </c>
      <c r="Q1999" s="2" t="s">
        <v>2098</v>
      </c>
      <c r="R1999" s="11">
        <f>SUBTOTAL(3,_xlfn.SINGLE(tbl_file[RowId]))</f>
        <v>1</v>
      </c>
    </row>
    <row r="2000" spans="10:18">
      <c r="J2000" s="4">
        <v>2428</v>
      </c>
      <c r="K2000" s="21" t="str">
        <f>HYPERLINK("obsidian://open?vault=o2&amp;file=rAutoHotkey%20-%20Unicode%20fractions.md","rAutoHotkey - Unicode fractions")</f>
        <v>rAutoHotkey - Unicode fractions</v>
      </c>
      <c r="L2000" s="20" t="s">
        <v>175</v>
      </c>
      <c r="M2000" s="4"/>
      <c r="N2000" s="2" t="s">
        <v>137</v>
      </c>
      <c r="O2000" s="2"/>
      <c r="P2000" s="4">
        <v>1</v>
      </c>
      <c r="Q2000" s="2" t="s">
        <v>2207</v>
      </c>
      <c r="R2000" s="11">
        <f>SUBTOTAL(3,_xlfn.SINGLE(tbl_file[RowId]))</f>
        <v>1</v>
      </c>
    </row>
    <row r="2001" spans="10:18">
      <c r="J2001" s="4">
        <v>2429</v>
      </c>
      <c r="K2001" s="21" t="str">
        <f>HYPERLINK("obsidian://open?vault=o2&amp;file=rAutoHotkey%20-%20Unicode%20fractions.md","rAutoHotkey - Unicode fractions")</f>
        <v>rAutoHotkey - Unicode fractions</v>
      </c>
      <c r="L2001" s="20" t="s">
        <v>175</v>
      </c>
      <c r="M2001" s="4" t="s">
        <v>2626</v>
      </c>
      <c r="N2001" s="2" t="s">
        <v>2606</v>
      </c>
      <c r="O2001" s="2"/>
      <c r="P2001" s="4">
        <v>2</v>
      </c>
      <c r="Q2001" s="2" t="s">
        <v>3180</v>
      </c>
      <c r="R2001" s="11">
        <f>SUBTOTAL(3,_xlfn.SINGLE(tbl_file[RowId]))</f>
        <v>1</v>
      </c>
    </row>
    <row r="2002" spans="10:18">
      <c r="J2002" s="4">
        <v>170</v>
      </c>
      <c r="K2002" s="21" t="str">
        <f>HYPERLINK("obsidian://open?vault=o2&amp;file=Rebuild%20PC.md","Rebuild PC")</f>
        <v>Rebuild PC</v>
      </c>
      <c r="L2002" s="20" t="s">
        <v>175</v>
      </c>
      <c r="M2002" s="4"/>
      <c r="N2002" s="2" t="s">
        <v>50</v>
      </c>
      <c r="O2002" s="2"/>
      <c r="P2002" s="4">
        <v>1</v>
      </c>
      <c r="Q2002" s="2" t="s">
        <v>1633</v>
      </c>
      <c r="R2002" s="11">
        <f>SUBTOTAL(3,_xlfn.SINGLE(tbl_file[RowId]))</f>
        <v>1</v>
      </c>
    </row>
    <row r="2003" spans="10:18">
      <c r="J2003" s="4">
        <v>171</v>
      </c>
      <c r="K2003" s="21" t="str">
        <f>HYPERLINK("obsidian://open?vault=o2&amp;file=Rebuild%20PC.md","Rebuild PC")</f>
        <v>Rebuild PC</v>
      </c>
      <c r="L2003" s="20" t="s">
        <v>175</v>
      </c>
      <c r="M2003" s="4"/>
      <c r="N2003" s="2" t="s">
        <v>127</v>
      </c>
      <c r="O2003" s="2"/>
      <c r="P2003" s="4">
        <v>1</v>
      </c>
      <c r="Q2003" s="2" t="s">
        <v>1958</v>
      </c>
      <c r="R2003" s="11">
        <f>SUBTOTAL(3,_xlfn.SINGLE(tbl_file[RowId]))</f>
        <v>1</v>
      </c>
    </row>
    <row r="2004" spans="10:18">
      <c r="J2004" s="4">
        <v>172</v>
      </c>
      <c r="K2004" s="21" t="str">
        <f>HYPERLINK("obsidian://open?vault=o2&amp;file=Rebuild%20PC.md","Rebuild PC")</f>
        <v>Rebuild PC</v>
      </c>
      <c r="L2004" s="20" t="s">
        <v>175</v>
      </c>
      <c r="M2004" s="4"/>
      <c r="N2004" s="2" t="s">
        <v>2606</v>
      </c>
      <c r="O2004" s="2"/>
      <c r="P2004" s="4">
        <v>4</v>
      </c>
      <c r="Q2004" s="2" t="s">
        <v>2642</v>
      </c>
      <c r="R2004" s="11">
        <f>SUBTOTAL(3,_xlfn.SINGLE(tbl_file[RowId]))</f>
        <v>1</v>
      </c>
    </row>
    <row r="2005" spans="10:18">
      <c r="J2005" s="4">
        <v>173</v>
      </c>
      <c r="K2005" s="21" t="str">
        <f>HYPERLINK("obsidian://open?vault=o2&amp;file=Rebuild%20PC.md","Rebuild PC")</f>
        <v>Rebuild PC</v>
      </c>
      <c r="L2005" s="20" t="s">
        <v>175</v>
      </c>
      <c r="M2005" s="4"/>
      <c r="N2005" s="2" t="s">
        <v>133</v>
      </c>
      <c r="O2005" s="2"/>
      <c r="P2005" s="4">
        <v>1</v>
      </c>
      <c r="Q2005" s="2" t="s">
        <v>2614</v>
      </c>
      <c r="R2005" s="11">
        <f>SUBTOTAL(3,_xlfn.SINGLE(tbl_file[RowId]))</f>
        <v>1</v>
      </c>
    </row>
    <row r="2006" spans="10:18">
      <c r="J2006" s="4">
        <v>119</v>
      </c>
      <c r="K2006" s="21" t="str">
        <f>HYPERLINK("obsidian://open?vault=o2&amp;file=Regex%20Flavors.md","Regex Flavors")</f>
        <v>Regex Flavors</v>
      </c>
      <c r="L2006" s="20" t="s">
        <v>175</v>
      </c>
      <c r="M2006" s="4"/>
      <c r="N2006" s="2" t="s">
        <v>118</v>
      </c>
      <c r="O2006" s="2"/>
      <c r="P2006" s="4">
        <v>1</v>
      </c>
      <c r="Q2006" s="2" t="s">
        <v>1641</v>
      </c>
      <c r="R2006" s="11">
        <f>SUBTOTAL(3,_xlfn.SINGLE(tbl_file[RowId]))</f>
        <v>1</v>
      </c>
    </row>
    <row r="2007" spans="10:18">
      <c r="J2007" s="4">
        <v>120</v>
      </c>
      <c r="K2007" s="21" t="str">
        <f>HYPERLINK("obsidian://open?vault=o2&amp;file=Regex%20Flavors.md","Regex Flavors")</f>
        <v>Regex Flavors</v>
      </c>
      <c r="L2007" s="20" t="s">
        <v>175</v>
      </c>
      <c r="M2007" s="4"/>
      <c r="N2007" s="2" t="s">
        <v>123</v>
      </c>
      <c r="O2007" s="2"/>
      <c r="P2007" s="4">
        <v>1</v>
      </c>
      <c r="Q2007" s="2" t="s">
        <v>1564</v>
      </c>
      <c r="R2007" s="11">
        <f>SUBTOTAL(3,_xlfn.SINGLE(tbl_file[RowId]))</f>
        <v>1</v>
      </c>
    </row>
    <row r="2008" spans="10:18">
      <c r="J2008" s="4">
        <v>121</v>
      </c>
      <c r="K2008" s="21" t="str">
        <f>HYPERLINK("obsidian://open?vault=o2&amp;file=Regex%20Flavors.md","Regex Flavors")</f>
        <v>Regex Flavors</v>
      </c>
      <c r="L2008" s="20" t="s">
        <v>175</v>
      </c>
      <c r="M2008" s="4"/>
      <c r="N2008" s="2" t="s">
        <v>127</v>
      </c>
      <c r="O2008" s="2"/>
      <c r="P2008" s="4">
        <v>1</v>
      </c>
      <c r="Q2008" s="2" t="s">
        <v>1956</v>
      </c>
      <c r="R2008" s="11">
        <f>SUBTOTAL(3,_xlfn.SINGLE(tbl_file[RowId]))</f>
        <v>1</v>
      </c>
    </row>
    <row r="2009" spans="10:18">
      <c r="J2009" s="4">
        <v>122</v>
      </c>
      <c r="K2009" s="21" t="str">
        <f>HYPERLINK("obsidian://open?vault=o2&amp;file=Regex%20Flavors.md","Regex Flavors")</f>
        <v>Regex Flavors</v>
      </c>
      <c r="L2009" s="20" t="s">
        <v>175</v>
      </c>
      <c r="M2009" s="4"/>
      <c r="N2009" s="2" t="s">
        <v>2606</v>
      </c>
      <c r="O2009" s="2"/>
      <c r="P2009" s="4">
        <v>1</v>
      </c>
      <c r="Q2009" s="2" t="s">
        <v>2416</v>
      </c>
      <c r="R2009" s="11">
        <f>SUBTOTAL(3,_xlfn.SINGLE(tbl_file[RowId]))</f>
        <v>1</v>
      </c>
    </row>
    <row r="2010" spans="10:18">
      <c r="J2010" s="4">
        <v>123</v>
      </c>
      <c r="K2010" s="21" t="str">
        <f>HYPERLINK("obsidian://open?vault=o2&amp;file=Regex%20Flavors.md","Regex Flavors")</f>
        <v>Regex Flavors</v>
      </c>
      <c r="L2010" s="20" t="s">
        <v>175</v>
      </c>
      <c r="M2010" s="4"/>
      <c r="N2010" s="2" t="s">
        <v>133</v>
      </c>
      <c r="O2010" s="2"/>
      <c r="P2010" s="4">
        <v>1</v>
      </c>
      <c r="Q2010" s="2" t="s">
        <v>2113</v>
      </c>
      <c r="R2010" s="11">
        <f>SUBTOTAL(3,_xlfn.SINGLE(tbl_file[RowId]))</f>
        <v>1</v>
      </c>
    </row>
    <row r="2011" spans="10:18">
      <c r="J2011" s="4">
        <v>2210</v>
      </c>
      <c r="K2011" s="21" t="str">
        <f>HYPERLINK("obsidian://open?vault=o2&amp;file=Re-installing%20CasaOS.md","Re-installing CasaOS")</f>
        <v>Re-installing CasaOS</v>
      </c>
      <c r="L2011" s="20" t="s">
        <v>175</v>
      </c>
      <c r="M2011" s="4"/>
      <c r="N2011" s="2" t="s">
        <v>11</v>
      </c>
      <c r="O2011" s="2"/>
      <c r="P2011" s="4">
        <v>2</v>
      </c>
      <c r="Q2011" s="2" t="s">
        <v>3131</v>
      </c>
      <c r="R2011" s="11">
        <f>SUBTOTAL(3,_xlfn.SINGLE(tbl_file[RowId]))</f>
        <v>1</v>
      </c>
    </row>
    <row r="2012" spans="10:18">
      <c r="J2012" s="4">
        <v>2211</v>
      </c>
      <c r="K2012" s="21" t="str">
        <f>HYPERLINK("obsidian://open?vault=o2&amp;file=Re-installing%20CasaOS.md","Re-installing CasaOS")</f>
        <v>Re-installing CasaOS</v>
      </c>
      <c r="L2012" s="20" t="s">
        <v>175</v>
      </c>
      <c r="M2012" s="4"/>
      <c r="N2012" s="2" t="s">
        <v>50</v>
      </c>
      <c r="O2012" s="2"/>
      <c r="P2012" s="4">
        <v>1</v>
      </c>
      <c r="Q2012" s="2" t="s">
        <v>1474</v>
      </c>
      <c r="R2012" s="11">
        <f>SUBTOTAL(3,_xlfn.SINGLE(tbl_file[RowId]))</f>
        <v>1</v>
      </c>
    </row>
    <row r="2013" spans="10:18">
      <c r="J2013" s="4">
        <v>2212</v>
      </c>
      <c r="K2013" s="21" t="str">
        <f>HYPERLINK("obsidian://open?vault=o2&amp;file=Re-installing%20CasaOS.md","Re-installing CasaOS")</f>
        <v>Re-installing CasaOS</v>
      </c>
      <c r="L2013" s="20" t="s">
        <v>175</v>
      </c>
      <c r="M2013" s="4"/>
      <c r="N2013" s="2" t="s">
        <v>127</v>
      </c>
      <c r="O2013" s="2"/>
      <c r="P2013" s="4">
        <v>1</v>
      </c>
      <c r="Q2013" s="2" t="s">
        <v>1942</v>
      </c>
      <c r="R2013" s="11">
        <f>SUBTOTAL(3,_xlfn.SINGLE(tbl_file[RowId]))</f>
        <v>1</v>
      </c>
    </row>
    <row r="2014" spans="10:18">
      <c r="J2014" s="4">
        <v>2213</v>
      </c>
      <c r="K2014" s="21" t="str">
        <f>HYPERLINK("obsidian://open?vault=o2&amp;file=Re-installing%20CasaOS.md","Re-installing CasaOS")</f>
        <v>Re-installing CasaOS</v>
      </c>
      <c r="L2014" s="20" t="s">
        <v>175</v>
      </c>
      <c r="M2014" s="4"/>
      <c r="N2014" s="2" t="s">
        <v>2606</v>
      </c>
      <c r="O2014" s="2"/>
      <c r="P2014" s="4">
        <v>1</v>
      </c>
      <c r="Q2014" s="2" t="s">
        <v>2293</v>
      </c>
      <c r="R2014" s="11">
        <f>SUBTOTAL(3,_xlfn.SINGLE(tbl_file[RowId]))</f>
        <v>1</v>
      </c>
    </row>
    <row r="2015" spans="10:18">
      <c r="J2015" s="4">
        <v>2214</v>
      </c>
      <c r="K2015" s="21" t="str">
        <f>HYPERLINK("obsidian://open?vault=o2&amp;file=Re-installing%20CasaOS.md","Re-installing CasaOS")</f>
        <v>Re-installing CasaOS</v>
      </c>
      <c r="L2015" s="20" t="s">
        <v>175</v>
      </c>
      <c r="M2015" s="4"/>
      <c r="N2015" s="2" t="s">
        <v>133</v>
      </c>
      <c r="O2015" s="2"/>
      <c r="P2015" s="4">
        <v>1</v>
      </c>
      <c r="Q2015" s="2" t="s">
        <v>2107</v>
      </c>
      <c r="R2015" s="11">
        <f>SUBTOTAL(3,_xlfn.SINGLE(tbl_file[RowId]))</f>
        <v>1</v>
      </c>
    </row>
    <row r="2016" spans="10:18">
      <c r="J2016" s="4">
        <v>1040</v>
      </c>
      <c r="K2016" s="21" t="str">
        <f t="shared" ref="K2016:K2025" si="73">HYPERLINK("obsidian://open?vault=o2&amp;file=Relaxation%20Techniques.md","Relaxation Techniques")</f>
        <v>Relaxation Techniques</v>
      </c>
      <c r="L2016" s="20" t="s">
        <v>175</v>
      </c>
      <c r="M2016" s="4"/>
      <c r="N2016" s="2" t="s">
        <v>12</v>
      </c>
      <c r="O2016" s="2"/>
      <c r="P2016" s="4">
        <v>1</v>
      </c>
      <c r="Q2016" s="2" t="s">
        <v>270</v>
      </c>
      <c r="R2016" s="11">
        <f>SUBTOTAL(3,_xlfn.SINGLE(tbl_file[RowId]))</f>
        <v>1</v>
      </c>
    </row>
    <row r="2017" spans="10:18">
      <c r="J2017" s="4">
        <v>1041</v>
      </c>
      <c r="K2017" s="21" t="str">
        <f t="shared" si="73"/>
        <v>Relaxation Techniques</v>
      </c>
      <c r="L2017" s="20" t="s">
        <v>175</v>
      </c>
      <c r="M2017" s="4"/>
      <c r="N2017" s="2" t="s">
        <v>13</v>
      </c>
      <c r="O2017" s="2"/>
      <c r="P2017" s="4">
        <v>1</v>
      </c>
      <c r="Q2017" s="2" t="s">
        <v>326</v>
      </c>
      <c r="R2017" s="11">
        <f>SUBTOTAL(3,_xlfn.SINGLE(tbl_file[RowId]))</f>
        <v>1</v>
      </c>
    </row>
    <row r="2018" spans="10:18">
      <c r="J2018" s="4">
        <v>1042</v>
      </c>
      <c r="K2018" s="21" t="str">
        <f t="shared" si="73"/>
        <v>Relaxation Techniques</v>
      </c>
      <c r="L2018" s="20" t="s">
        <v>175</v>
      </c>
      <c r="M2018" s="4"/>
      <c r="N2018" s="2" t="s">
        <v>33</v>
      </c>
      <c r="O2018" s="2"/>
      <c r="P2018" s="4">
        <v>1</v>
      </c>
      <c r="Q2018" s="2" t="s">
        <v>493</v>
      </c>
      <c r="R2018" s="11">
        <f>SUBTOTAL(3,_xlfn.SINGLE(tbl_file[RowId]))</f>
        <v>1</v>
      </c>
    </row>
    <row r="2019" spans="10:18">
      <c r="J2019" s="4">
        <v>1043</v>
      </c>
      <c r="K2019" s="21" t="str">
        <f t="shared" si="73"/>
        <v>Relaxation Techniques</v>
      </c>
      <c r="L2019" s="20" t="s">
        <v>175</v>
      </c>
      <c r="M2019" s="4"/>
      <c r="N2019" s="2" t="s">
        <v>48</v>
      </c>
      <c r="O2019" s="2"/>
      <c r="P2019" s="4">
        <v>3</v>
      </c>
      <c r="Q2019" s="2" t="s">
        <v>2977</v>
      </c>
      <c r="R2019" s="11">
        <f>SUBTOTAL(3,_xlfn.SINGLE(tbl_file[RowId]))</f>
        <v>1</v>
      </c>
    </row>
    <row r="2020" spans="10:18">
      <c r="J2020" s="4">
        <v>1044</v>
      </c>
      <c r="K2020" s="21" t="str">
        <f t="shared" si="73"/>
        <v>Relaxation Techniques</v>
      </c>
      <c r="L2020" s="20" t="s">
        <v>175</v>
      </c>
      <c r="M2020" s="4"/>
      <c r="N2020" s="2" t="s">
        <v>50</v>
      </c>
      <c r="O2020" s="2"/>
      <c r="P2020" s="4">
        <v>1</v>
      </c>
      <c r="Q2020" s="2" t="s">
        <v>1688</v>
      </c>
      <c r="R2020" s="11">
        <f>SUBTOTAL(3,_xlfn.SINGLE(tbl_file[RowId]))</f>
        <v>1</v>
      </c>
    </row>
    <row r="2021" spans="10:18">
      <c r="J2021" s="4">
        <v>1045</v>
      </c>
      <c r="K2021" s="21" t="str">
        <f t="shared" si="73"/>
        <v>Relaxation Techniques</v>
      </c>
      <c r="L2021" s="20" t="s">
        <v>175</v>
      </c>
      <c r="M2021" s="4"/>
      <c r="N2021" s="2" t="s">
        <v>121</v>
      </c>
      <c r="O2021" s="2"/>
      <c r="P2021" s="4">
        <v>1</v>
      </c>
      <c r="Q2021" s="2" t="s">
        <v>1849</v>
      </c>
      <c r="R2021" s="11">
        <f>SUBTOTAL(3,_xlfn.SINGLE(tbl_file[RowId]))</f>
        <v>1</v>
      </c>
    </row>
    <row r="2022" spans="10:18">
      <c r="J2022" s="4">
        <v>1046</v>
      </c>
      <c r="K2022" s="21" t="str">
        <f t="shared" si="73"/>
        <v>Relaxation Techniques</v>
      </c>
      <c r="L2022" s="20" t="s">
        <v>175</v>
      </c>
      <c r="M2022" s="4"/>
      <c r="N2022" s="2" t="s">
        <v>125</v>
      </c>
      <c r="O2022" s="2"/>
      <c r="P2022" s="4">
        <v>1</v>
      </c>
      <c r="Q2022" s="2" t="s">
        <v>1893</v>
      </c>
      <c r="R2022" s="11">
        <f>SUBTOTAL(3,_xlfn.SINGLE(tbl_file[RowId]))</f>
        <v>1</v>
      </c>
    </row>
    <row r="2023" spans="10:18">
      <c r="J2023" s="4">
        <v>1047</v>
      </c>
      <c r="K2023" s="21" t="str">
        <f t="shared" si="73"/>
        <v>Relaxation Techniques</v>
      </c>
      <c r="L2023" s="20" t="s">
        <v>175</v>
      </c>
      <c r="M2023" s="4"/>
      <c r="N2023" s="2" t="s">
        <v>2606</v>
      </c>
      <c r="O2023" s="2"/>
      <c r="P2023" s="4">
        <v>2</v>
      </c>
      <c r="Q2023" s="2" t="s">
        <v>2624</v>
      </c>
      <c r="R2023" s="11">
        <f>SUBTOTAL(3,_xlfn.SINGLE(tbl_file[RowId]))</f>
        <v>1</v>
      </c>
    </row>
    <row r="2024" spans="10:18">
      <c r="J2024" s="4">
        <v>1048</v>
      </c>
      <c r="K2024" s="21" t="str">
        <f t="shared" si="73"/>
        <v>Relaxation Techniques</v>
      </c>
      <c r="L2024" s="20" t="s">
        <v>175</v>
      </c>
      <c r="M2024" s="4"/>
      <c r="N2024" s="2" t="s">
        <v>132</v>
      </c>
      <c r="O2024" s="2"/>
      <c r="P2024" s="4">
        <v>1</v>
      </c>
      <c r="Q2024" s="2" t="s">
        <v>2078</v>
      </c>
      <c r="R2024" s="11">
        <f>SUBTOTAL(3,_xlfn.SINGLE(tbl_file[RowId]))</f>
        <v>1</v>
      </c>
    </row>
    <row r="2025" spans="10:18">
      <c r="J2025" s="4">
        <v>1049</v>
      </c>
      <c r="K2025" s="21" t="str">
        <f t="shared" si="73"/>
        <v>Relaxation Techniques</v>
      </c>
      <c r="L2025" s="20" t="s">
        <v>175</v>
      </c>
      <c r="M2025" s="4"/>
      <c r="N2025" s="2" t="s">
        <v>137</v>
      </c>
      <c r="O2025" s="2"/>
      <c r="P2025" s="4">
        <v>1</v>
      </c>
      <c r="Q2025" s="2" t="s">
        <v>2199</v>
      </c>
      <c r="R2025" s="11">
        <f>SUBTOTAL(3,_xlfn.SINGLE(tbl_file[RowId]))</f>
        <v>1</v>
      </c>
    </row>
    <row r="2026" spans="10:18">
      <c r="J2026" s="4">
        <v>2215</v>
      </c>
      <c r="K2026" s="21" t="str">
        <f>HYPERLINK("obsidian://open?vault=o2&amp;file=Research%20Cable%20Management.md","Research Cable Management")</f>
        <v>Research Cable Management</v>
      </c>
      <c r="L2026" s="20" t="s">
        <v>175</v>
      </c>
      <c r="M2026" s="4"/>
      <c r="N2026" s="2" t="s">
        <v>50</v>
      </c>
      <c r="O2026" s="2"/>
      <c r="P2026" s="4">
        <v>1</v>
      </c>
      <c r="Q2026" s="2" t="s">
        <v>1546</v>
      </c>
      <c r="R2026" s="11">
        <f>SUBTOTAL(3,_xlfn.SINGLE(tbl_file[RowId]))</f>
        <v>1</v>
      </c>
    </row>
    <row r="2027" spans="10:18">
      <c r="J2027" s="4">
        <v>2216</v>
      </c>
      <c r="K2027" s="21" t="str">
        <f>HYPERLINK("obsidian://open?vault=o2&amp;file=Research%20Cable%20Management.md","Research Cable Management")</f>
        <v>Research Cable Management</v>
      </c>
      <c r="L2027" s="20" t="s">
        <v>175</v>
      </c>
      <c r="M2027" s="4"/>
      <c r="N2027" s="2" t="s">
        <v>127</v>
      </c>
      <c r="O2027" s="2"/>
      <c r="P2027" s="4">
        <v>1</v>
      </c>
      <c r="Q2027" s="2" t="s">
        <v>1960</v>
      </c>
      <c r="R2027" s="11">
        <f>SUBTOTAL(3,_xlfn.SINGLE(tbl_file[RowId]))</f>
        <v>1</v>
      </c>
    </row>
    <row r="2028" spans="10:18">
      <c r="J2028" s="4">
        <v>2217</v>
      </c>
      <c r="K2028" s="21" t="str">
        <f>HYPERLINK("obsidian://open?vault=o2&amp;file=Research%20Cable%20Management.md","Research Cable Management")</f>
        <v>Research Cable Management</v>
      </c>
      <c r="L2028" s="20" t="s">
        <v>175</v>
      </c>
      <c r="M2028" s="4"/>
      <c r="N2028" s="2" t="s">
        <v>2606</v>
      </c>
      <c r="O2028" s="2"/>
      <c r="P2028" s="4">
        <v>3</v>
      </c>
      <c r="Q2028" s="2" t="s">
        <v>3132</v>
      </c>
      <c r="R2028" s="11">
        <f>SUBTOTAL(3,_xlfn.SINGLE(tbl_file[RowId]))</f>
        <v>1</v>
      </c>
    </row>
    <row r="2029" spans="10:18">
      <c r="J2029" s="4">
        <v>2218</v>
      </c>
      <c r="K2029" s="21" t="str">
        <f>HYPERLINK("obsidian://open?vault=o2&amp;file=Research%20Cable%20Management.md","Research Cable Management")</f>
        <v>Research Cable Management</v>
      </c>
      <c r="L2029" s="20" t="s">
        <v>175</v>
      </c>
      <c r="M2029" s="4"/>
      <c r="N2029" s="2" t="s">
        <v>133</v>
      </c>
      <c r="O2029" s="2"/>
      <c r="P2029" s="4">
        <v>1</v>
      </c>
      <c r="Q2029" s="2" t="s">
        <v>2111</v>
      </c>
      <c r="R2029" s="11">
        <f>SUBTOTAL(3,_xlfn.SINGLE(tbl_file[RowId]))</f>
        <v>1</v>
      </c>
    </row>
    <row r="2030" spans="10:18">
      <c r="J2030" s="4">
        <v>2219</v>
      </c>
      <c r="K2030" s="21" t="str">
        <f>HYPERLINK("obsidian://open?vault=o2&amp;file=Research%20Desk%20Lighting.md","Research Desk Lighting")</f>
        <v>Research Desk Lighting</v>
      </c>
      <c r="L2030" s="20" t="s">
        <v>175</v>
      </c>
      <c r="M2030" s="4"/>
      <c r="N2030" s="2" t="s">
        <v>50</v>
      </c>
      <c r="O2030" s="2"/>
      <c r="P2030" s="4">
        <v>1</v>
      </c>
      <c r="Q2030" s="2" t="s">
        <v>1546</v>
      </c>
      <c r="R2030" s="11">
        <f>SUBTOTAL(3,_xlfn.SINGLE(tbl_file[RowId]))</f>
        <v>1</v>
      </c>
    </row>
    <row r="2031" spans="10:18">
      <c r="J2031" s="4">
        <v>2220</v>
      </c>
      <c r="K2031" s="21" t="str">
        <f>HYPERLINK("obsidian://open?vault=o2&amp;file=Research%20Desk%20Lighting.md","Research Desk Lighting")</f>
        <v>Research Desk Lighting</v>
      </c>
      <c r="L2031" s="20" t="s">
        <v>175</v>
      </c>
      <c r="M2031" s="4"/>
      <c r="N2031" s="2" t="s">
        <v>127</v>
      </c>
      <c r="O2031" s="2"/>
      <c r="P2031" s="4">
        <v>1</v>
      </c>
      <c r="Q2031" s="2" t="s">
        <v>1960</v>
      </c>
      <c r="R2031" s="11">
        <f>SUBTOTAL(3,_xlfn.SINGLE(tbl_file[RowId]))</f>
        <v>1</v>
      </c>
    </row>
    <row r="2032" spans="10:18">
      <c r="J2032" s="4">
        <v>2221</v>
      </c>
      <c r="K2032" s="21" t="str">
        <f>HYPERLINK("obsidian://open?vault=o2&amp;file=Research%20Desk%20Lighting.md","Research Desk Lighting")</f>
        <v>Research Desk Lighting</v>
      </c>
      <c r="L2032" s="20" t="s">
        <v>175</v>
      </c>
      <c r="M2032" s="4"/>
      <c r="N2032" s="2" t="s">
        <v>2606</v>
      </c>
      <c r="O2032" s="2"/>
      <c r="P2032" s="4">
        <v>2</v>
      </c>
      <c r="Q2032" s="2" t="s">
        <v>3133</v>
      </c>
      <c r="R2032" s="11">
        <f>SUBTOTAL(3,_xlfn.SINGLE(tbl_file[RowId]))</f>
        <v>1</v>
      </c>
    </row>
    <row r="2033" spans="10:18">
      <c r="J2033" s="4">
        <v>2222</v>
      </c>
      <c r="K2033" s="21" t="str">
        <f>HYPERLINK("obsidian://open?vault=o2&amp;file=Research%20Desk%20Lighting.md","Research Desk Lighting")</f>
        <v>Research Desk Lighting</v>
      </c>
      <c r="L2033" s="20" t="s">
        <v>175</v>
      </c>
      <c r="M2033" s="4"/>
      <c r="N2033" s="2" t="s">
        <v>133</v>
      </c>
      <c r="O2033" s="2"/>
      <c r="P2033" s="4">
        <v>1</v>
      </c>
      <c r="Q2033" s="2" t="s">
        <v>2111</v>
      </c>
      <c r="R2033" s="11">
        <f>SUBTOTAL(3,_xlfn.SINGLE(tbl_file[RowId]))</f>
        <v>1</v>
      </c>
    </row>
    <row r="2034" spans="10:18">
      <c r="J2034" s="4">
        <v>45</v>
      </c>
      <c r="K2034" s="21" t="str">
        <f>HYPERLINK("obsidian://open?vault=o2&amp;file=Reset%20CasaOS%20Win%20Login.md","Reset CasaOS Win Login")</f>
        <v>Reset CasaOS Win Login</v>
      </c>
      <c r="L2034" s="20" t="s">
        <v>175</v>
      </c>
      <c r="M2034" s="4"/>
      <c r="N2034" s="2" t="s">
        <v>50</v>
      </c>
      <c r="O2034" s="2"/>
      <c r="P2034" s="4">
        <v>1</v>
      </c>
      <c r="Q2034" s="2" t="s">
        <v>1472</v>
      </c>
      <c r="R2034" s="11">
        <f>SUBTOTAL(3,_xlfn.SINGLE(tbl_file[RowId]))</f>
        <v>1</v>
      </c>
    </row>
    <row r="2035" spans="10:18">
      <c r="J2035" s="4">
        <v>46</v>
      </c>
      <c r="K2035" s="21" t="str">
        <f>HYPERLINK("obsidian://open?vault=o2&amp;file=Reset%20CasaOS%20Win%20Login.md","Reset CasaOS Win Login")</f>
        <v>Reset CasaOS Win Login</v>
      </c>
      <c r="L2035" s="20" t="s">
        <v>175</v>
      </c>
      <c r="M2035" s="4"/>
      <c r="N2035" s="2" t="s">
        <v>127</v>
      </c>
      <c r="O2035" s="2"/>
      <c r="P2035" s="4">
        <v>1</v>
      </c>
      <c r="Q2035" s="2" t="s">
        <v>1960</v>
      </c>
      <c r="R2035" s="11">
        <f>SUBTOTAL(3,_xlfn.SINGLE(tbl_file[RowId]))</f>
        <v>1</v>
      </c>
    </row>
    <row r="2036" spans="10:18">
      <c r="J2036" s="4">
        <v>47</v>
      </c>
      <c r="K2036" s="21" t="str">
        <f>HYPERLINK("obsidian://open?vault=o2&amp;file=Reset%20CasaOS%20Win%20Login.md","Reset CasaOS Win Login")</f>
        <v>Reset CasaOS Win Login</v>
      </c>
      <c r="L2036" s="20" t="s">
        <v>175</v>
      </c>
      <c r="M2036" s="4"/>
      <c r="N2036" s="2" t="s">
        <v>2606</v>
      </c>
      <c r="O2036" s="2"/>
      <c r="P2036" s="4">
        <v>1</v>
      </c>
      <c r="Q2036" s="2" t="s">
        <v>2293</v>
      </c>
      <c r="R2036" s="11">
        <f>SUBTOTAL(3,_xlfn.SINGLE(tbl_file[RowId]))</f>
        <v>1</v>
      </c>
    </row>
    <row r="2037" spans="10:18">
      <c r="J2037" s="4">
        <v>48</v>
      </c>
      <c r="K2037" s="21" t="str">
        <f>HYPERLINK("obsidian://open?vault=o2&amp;file=Reset%20CasaOS%20Win%20Login.md","Reset CasaOS Win Login")</f>
        <v>Reset CasaOS Win Login</v>
      </c>
      <c r="L2037" s="20" t="s">
        <v>175</v>
      </c>
      <c r="M2037" s="4"/>
      <c r="N2037" s="2" t="s">
        <v>133</v>
      </c>
      <c r="O2037" s="2"/>
      <c r="P2037" s="4">
        <v>1</v>
      </c>
      <c r="Q2037" s="2" t="s">
        <v>2111</v>
      </c>
      <c r="R2037" s="11">
        <f>SUBTOTAL(3,_xlfn.SINGLE(tbl_file[RowId]))</f>
        <v>1</v>
      </c>
    </row>
    <row r="2038" spans="10:18">
      <c r="J2038" s="4">
        <v>2223</v>
      </c>
      <c r="K2038" s="21" t="str">
        <f>HYPERLINK("obsidian://open?vault=o2&amp;file=Retrieving%20information%20from%20your%20notes.md","Retrieving information from your notes")</f>
        <v>Retrieving information from your notes</v>
      </c>
      <c r="L2038" s="20" t="s">
        <v>175</v>
      </c>
      <c r="M2038" s="4"/>
      <c r="N2038" s="2" t="s">
        <v>50</v>
      </c>
      <c r="O2038" s="2"/>
      <c r="P2038" s="4">
        <v>1</v>
      </c>
      <c r="Q2038" s="2" t="s">
        <v>1496</v>
      </c>
      <c r="R2038" s="11">
        <f>SUBTOTAL(3,_xlfn.SINGLE(tbl_file[RowId]))</f>
        <v>1</v>
      </c>
    </row>
    <row r="2039" spans="10:18">
      <c r="J2039" s="4">
        <v>2224</v>
      </c>
      <c r="K2039" s="21" t="str">
        <f>HYPERLINK("obsidian://open?vault=o2&amp;file=Roboform%20License.md","Roboform License")</f>
        <v>Roboform License</v>
      </c>
      <c r="L2039" s="20" t="s">
        <v>175</v>
      </c>
      <c r="M2039" s="4"/>
      <c r="N2039" s="2" t="s">
        <v>39</v>
      </c>
      <c r="O2039" s="2"/>
      <c r="P2039" s="4">
        <v>1</v>
      </c>
      <c r="Q2039" s="2" t="s">
        <v>597</v>
      </c>
      <c r="R2039" s="11">
        <f>SUBTOTAL(3,_xlfn.SINGLE(tbl_file[RowId]))</f>
        <v>1</v>
      </c>
    </row>
    <row r="2040" spans="10:18">
      <c r="J2040" s="4">
        <v>2225</v>
      </c>
      <c r="K2040" s="21" t="str">
        <f>HYPERLINK("obsidian://open?vault=o2&amp;file=Roboform%20License.md","Roboform License")</f>
        <v>Roboform License</v>
      </c>
      <c r="L2040" s="20" t="s">
        <v>175</v>
      </c>
      <c r="M2040" s="4"/>
      <c r="N2040" s="2" t="s">
        <v>2606</v>
      </c>
      <c r="O2040" s="2"/>
      <c r="P2040" s="4">
        <v>4</v>
      </c>
      <c r="Q2040" s="2" t="s">
        <v>3134</v>
      </c>
      <c r="R2040" s="11">
        <f>SUBTOTAL(3,_xlfn.SINGLE(tbl_file[RowId]))</f>
        <v>1</v>
      </c>
    </row>
    <row r="2041" spans="10:18">
      <c r="J2041" s="4">
        <v>2226</v>
      </c>
      <c r="K2041" s="21" t="str">
        <f>HYPERLINK("obsidian://open?vault=o2&amp;file=Roboform%20License.md","Roboform License")</f>
        <v>Roboform License</v>
      </c>
      <c r="L2041" s="20" t="s">
        <v>175</v>
      </c>
      <c r="M2041" s="4"/>
      <c r="N2041" s="2" t="s">
        <v>133</v>
      </c>
      <c r="O2041" s="2"/>
      <c r="P2041" s="4">
        <v>1</v>
      </c>
      <c r="Q2041" s="2" t="s">
        <v>2622</v>
      </c>
      <c r="R2041" s="11">
        <f>SUBTOTAL(3,_xlfn.SINGLE(tbl_file[RowId]))</f>
        <v>1</v>
      </c>
    </row>
    <row r="2042" spans="10:18">
      <c r="J2042" s="4">
        <v>2228</v>
      </c>
      <c r="K2042" s="21" t="str">
        <f>HYPERLINK("obsidian://open?vault=o2&amp;file=Sample%20YAML.md","Sample YAML")</f>
        <v>Sample YAML</v>
      </c>
      <c r="L2042" s="20" t="s">
        <v>175</v>
      </c>
      <c r="M2042" s="4"/>
      <c r="N2042" s="2" t="s">
        <v>11</v>
      </c>
      <c r="O2042" s="2"/>
      <c r="P2042" s="4">
        <v>1</v>
      </c>
      <c r="Q2042" s="2" t="s">
        <v>256</v>
      </c>
      <c r="R2042" s="11">
        <f>SUBTOTAL(3,_xlfn.SINGLE(tbl_file[RowId]))</f>
        <v>1</v>
      </c>
    </row>
    <row r="2043" spans="10:18">
      <c r="J2043" s="4">
        <v>2229</v>
      </c>
      <c r="K2043" s="21" t="str">
        <f>HYPERLINK("obsidian://open?vault=o2&amp;file=Sample%20YAML.md","Sample YAML")</f>
        <v>Sample YAML</v>
      </c>
      <c r="L2043" s="20" t="s">
        <v>175</v>
      </c>
      <c r="M2043" s="4"/>
      <c r="N2043" s="2" t="s">
        <v>50</v>
      </c>
      <c r="O2043" s="2"/>
      <c r="P2043" s="4">
        <v>2</v>
      </c>
      <c r="Q2043" s="2" t="s">
        <v>3135</v>
      </c>
      <c r="R2043" s="11">
        <f>SUBTOTAL(3,_xlfn.SINGLE(tbl_file[RowId]))</f>
        <v>1</v>
      </c>
    </row>
    <row r="2044" spans="10:18">
      <c r="J2044" s="4">
        <v>2230</v>
      </c>
      <c r="K2044" s="21" t="str">
        <f>HYPERLINK("obsidian://open?vault=o2&amp;file=Sample%20YAML.md","Sample YAML")</f>
        <v>Sample YAML</v>
      </c>
      <c r="L2044" s="20" t="s">
        <v>175</v>
      </c>
      <c r="M2044" s="4"/>
      <c r="N2044" s="2" t="s">
        <v>127</v>
      </c>
      <c r="O2044" s="2"/>
      <c r="P2044" s="4">
        <v>1</v>
      </c>
      <c r="Q2044" s="2" t="s">
        <v>1956</v>
      </c>
      <c r="R2044" s="11">
        <f>SUBTOTAL(3,_xlfn.SINGLE(tbl_file[RowId]))</f>
        <v>1</v>
      </c>
    </row>
    <row r="2045" spans="10:18">
      <c r="J2045" s="4">
        <v>2231</v>
      </c>
      <c r="K2045" s="21" t="str">
        <f>HYPERLINK("obsidian://open?vault=o2&amp;file=Sample%20YAML.md","Sample YAML")</f>
        <v>Sample YAML</v>
      </c>
      <c r="L2045" s="20" t="s">
        <v>175</v>
      </c>
      <c r="M2045" s="4"/>
      <c r="N2045" s="2" t="s">
        <v>2606</v>
      </c>
      <c r="O2045" s="2"/>
      <c r="P2045" s="4">
        <v>2</v>
      </c>
      <c r="Q2045" s="2" t="s">
        <v>3136</v>
      </c>
      <c r="R2045" s="11">
        <f>SUBTOTAL(3,_xlfn.SINGLE(tbl_file[RowId]))</f>
        <v>1</v>
      </c>
    </row>
    <row r="2046" spans="10:18">
      <c r="J2046" s="4">
        <v>2232</v>
      </c>
      <c r="K2046" s="21" t="str">
        <f t="shared" ref="K2046:K2052" si="74">HYPERLINK("obsidian://open?vault=o2&amp;file=Search%20and%20Replace%20in%20Vim.md","Search and Replace in Vim")</f>
        <v>Search and Replace in Vim</v>
      </c>
      <c r="L2046" s="20" t="s">
        <v>175</v>
      </c>
      <c r="M2046" s="4"/>
      <c r="N2046" s="2" t="s">
        <v>13</v>
      </c>
      <c r="O2046" s="2"/>
      <c r="P2046" s="4">
        <v>1</v>
      </c>
      <c r="Q2046" s="2" t="s">
        <v>282</v>
      </c>
      <c r="R2046" s="11">
        <f>SUBTOTAL(3,_xlfn.SINGLE(tbl_file[RowId]))</f>
        <v>1</v>
      </c>
    </row>
    <row r="2047" spans="10:18">
      <c r="J2047" s="4">
        <v>2233</v>
      </c>
      <c r="K2047" s="21" t="str">
        <f t="shared" si="74"/>
        <v>Search and Replace in Vim</v>
      </c>
      <c r="L2047" s="20" t="s">
        <v>175</v>
      </c>
      <c r="M2047" s="4"/>
      <c r="N2047" s="2" t="s">
        <v>19</v>
      </c>
      <c r="O2047" s="2"/>
      <c r="P2047" s="4">
        <v>1</v>
      </c>
      <c r="Q2047" s="2" t="s">
        <v>383</v>
      </c>
      <c r="R2047" s="11">
        <f>SUBTOTAL(3,_xlfn.SINGLE(tbl_file[RowId]))</f>
        <v>1</v>
      </c>
    </row>
    <row r="2048" spans="10:18">
      <c r="J2048" s="4">
        <v>2234</v>
      </c>
      <c r="K2048" s="21" t="str">
        <f t="shared" si="74"/>
        <v>Search and Replace in Vim</v>
      </c>
      <c r="L2048" s="20" t="s">
        <v>175</v>
      </c>
      <c r="M2048" s="4"/>
      <c r="N2048" s="2" t="s">
        <v>48</v>
      </c>
      <c r="O2048" s="2"/>
      <c r="P2048" s="4">
        <v>1</v>
      </c>
      <c r="Q2048" s="2" t="s">
        <v>728</v>
      </c>
      <c r="R2048" s="11">
        <f>SUBTOTAL(3,_xlfn.SINGLE(tbl_file[RowId]))</f>
        <v>1</v>
      </c>
    </row>
    <row r="2049" spans="10:18">
      <c r="J2049" s="4">
        <v>2235</v>
      </c>
      <c r="K2049" s="21" t="str">
        <f t="shared" si="74"/>
        <v>Search and Replace in Vim</v>
      </c>
      <c r="L2049" s="20" t="s">
        <v>175</v>
      </c>
      <c r="M2049" s="4"/>
      <c r="N2049" s="2" t="s">
        <v>125</v>
      </c>
      <c r="O2049" s="2"/>
      <c r="P2049" s="4">
        <v>1</v>
      </c>
      <c r="Q2049" s="2" t="s">
        <v>1903</v>
      </c>
      <c r="R2049" s="11">
        <f>SUBTOTAL(3,_xlfn.SINGLE(tbl_file[RowId]))</f>
        <v>1</v>
      </c>
    </row>
    <row r="2050" spans="10:18">
      <c r="J2050" s="4">
        <v>2236</v>
      </c>
      <c r="K2050" s="21" t="str">
        <f t="shared" si="74"/>
        <v>Search and Replace in Vim</v>
      </c>
      <c r="L2050" s="20" t="s">
        <v>175</v>
      </c>
      <c r="M2050" s="4"/>
      <c r="N2050" s="2" t="s">
        <v>2606</v>
      </c>
      <c r="O2050" s="2"/>
      <c r="P2050" s="4">
        <v>1</v>
      </c>
      <c r="Q2050" s="2" t="s">
        <v>2373</v>
      </c>
      <c r="R2050" s="11">
        <f>SUBTOTAL(3,_xlfn.SINGLE(tbl_file[RowId]))</f>
        <v>1</v>
      </c>
    </row>
    <row r="2051" spans="10:18">
      <c r="J2051" s="4">
        <v>2237</v>
      </c>
      <c r="K2051" s="21" t="str">
        <f t="shared" si="74"/>
        <v>Search and Replace in Vim</v>
      </c>
      <c r="L2051" s="20" t="s">
        <v>175</v>
      </c>
      <c r="M2051" s="4"/>
      <c r="N2051" s="2" t="s">
        <v>133</v>
      </c>
      <c r="O2051" s="2"/>
      <c r="P2051" s="4">
        <v>1</v>
      </c>
      <c r="Q2051" s="2" t="s">
        <v>2107</v>
      </c>
      <c r="R2051" s="11">
        <f>SUBTOTAL(3,_xlfn.SINGLE(tbl_file[RowId]))</f>
        <v>1</v>
      </c>
    </row>
    <row r="2052" spans="10:18">
      <c r="J2052" s="4">
        <v>2238</v>
      </c>
      <c r="K2052" s="21" t="str">
        <f t="shared" si="74"/>
        <v>Search and Replace in Vim</v>
      </c>
      <c r="L2052" s="20" t="s">
        <v>175</v>
      </c>
      <c r="M2052" s="4" t="s">
        <v>2626</v>
      </c>
      <c r="N2052" s="2" t="s">
        <v>2606</v>
      </c>
      <c r="O2052" s="2"/>
      <c r="P2052" s="4">
        <v>6</v>
      </c>
      <c r="Q2052" s="2" t="s">
        <v>3137</v>
      </c>
      <c r="R2052" s="11">
        <f>SUBTOTAL(3,_xlfn.SINGLE(tbl_file[RowId]))</f>
        <v>1</v>
      </c>
    </row>
    <row r="2053" spans="10:18">
      <c r="J2053" s="4">
        <v>2239</v>
      </c>
      <c r="K2053" s="21" t="str">
        <f t="shared" ref="K2053:K2058" si="75">HYPERLINK("obsidian://open?vault=o2&amp;file=Secure%20Remote%20Access.md","Secure Remote Access")</f>
        <v>Secure Remote Access</v>
      </c>
      <c r="L2053" s="20" t="s">
        <v>175</v>
      </c>
      <c r="M2053" s="4"/>
      <c r="N2053" s="2" t="s">
        <v>48</v>
      </c>
      <c r="O2053" s="2"/>
      <c r="P2053" s="4">
        <v>5</v>
      </c>
      <c r="Q2053" s="2" t="s">
        <v>3138</v>
      </c>
      <c r="R2053" s="11">
        <f>SUBTOTAL(3,_xlfn.SINGLE(tbl_file[RowId]))</f>
        <v>1</v>
      </c>
    </row>
    <row r="2054" spans="10:18">
      <c r="J2054" s="4">
        <v>2240</v>
      </c>
      <c r="K2054" s="21" t="str">
        <f t="shared" si="75"/>
        <v>Secure Remote Access</v>
      </c>
      <c r="L2054" s="20" t="s">
        <v>175</v>
      </c>
      <c r="M2054" s="4"/>
      <c r="N2054" s="2" t="s">
        <v>50</v>
      </c>
      <c r="O2054" s="2"/>
      <c r="P2054" s="4">
        <v>2</v>
      </c>
      <c r="Q2054" s="2" t="s">
        <v>2618</v>
      </c>
      <c r="R2054" s="11">
        <f>SUBTOTAL(3,_xlfn.SINGLE(tbl_file[RowId]))</f>
        <v>1</v>
      </c>
    </row>
    <row r="2055" spans="10:18">
      <c r="J2055" s="4">
        <v>2241</v>
      </c>
      <c r="K2055" s="21" t="str">
        <f t="shared" si="75"/>
        <v>Secure Remote Access</v>
      </c>
      <c r="L2055" s="20" t="s">
        <v>175</v>
      </c>
      <c r="M2055" s="4"/>
      <c r="N2055" s="2" t="s">
        <v>121</v>
      </c>
      <c r="O2055" s="2"/>
      <c r="P2055" s="4">
        <v>1</v>
      </c>
      <c r="Q2055" s="2" t="s">
        <v>1840</v>
      </c>
      <c r="R2055" s="11">
        <f>SUBTOTAL(3,_xlfn.SINGLE(tbl_file[RowId]))</f>
        <v>1</v>
      </c>
    </row>
    <row r="2056" spans="10:18">
      <c r="J2056" s="4">
        <v>2242</v>
      </c>
      <c r="K2056" s="21" t="str">
        <f t="shared" si="75"/>
        <v>Secure Remote Access</v>
      </c>
      <c r="L2056" s="20" t="s">
        <v>175</v>
      </c>
      <c r="M2056" s="4"/>
      <c r="N2056" s="2" t="s">
        <v>127</v>
      </c>
      <c r="O2056" s="2"/>
      <c r="P2056" s="4">
        <v>1</v>
      </c>
      <c r="Q2056" s="2" t="s">
        <v>1952</v>
      </c>
      <c r="R2056" s="11">
        <f>SUBTOTAL(3,_xlfn.SINGLE(tbl_file[RowId]))</f>
        <v>1</v>
      </c>
    </row>
    <row r="2057" spans="10:18">
      <c r="J2057" s="4">
        <v>2243</v>
      </c>
      <c r="K2057" s="21" t="str">
        <f t="shared" si="75"/>
        <v>Secure Remote Access</v>
      </c>
      <c r="L2057" s="20" t="s">
        <v>175</v>
      </c>
      <c r="M2057" s="4"/>
      <c r="N2057" s="2" t="s">
        <v>2606</v>
      </c>
      <c r="O2057" s="2"/>
      <c r="P2057" s="4">
        <v>11</v>
      </c>
      <c r="Q2057" s="2" t="s">
        <v>3139</v>
      </c>
      <c r="R2057" s="11">
        <f>SUBTOTAL(3,_xlfn.SINGLE(tbl_file[RowId]))</f>
        <v>1</v>
      </c>
    </row>
    <row r="2058" spans="10:18">
      <c r="J2058" s="4">
        <v>2244</v>
      </c>
      <c r="K2058" s="21" t="str">
        <f t="shared" si="75"/>
        <v>Secure Remote Access</v>
      </c>
      <c r="L2058" s="20" t="s">
        <v>175</v>
      </c>
      <c r="M2058" s="4"/>
      <c r="N2058" s="2" t="s">
        <v>133</v>
      </c>
      <c r="O2058" s="2"/>
      <c r="P2058" s="4">
        <v>1</v>
      </c>
      <c r="Q2058" s="2" t="s">
        <v>2107</v>
      </c>
      <c r="R2058" s="11">
        <f>SUBTOTAL(3,_xlfn.SINGLE(tbl_file[RowId]))</f>
        <v>1</v>
      </c>
    </row>
    <row r="2059" spans="10:18">
      <c r="J2059" s="4">
        <v>2430</v>
      </c>
      <c r="K2059" s="21" t="str">
        <f>HYPERLINK("obsidian://open?vault=o2&amp;file=see%20peeps.md","see peeps")</f>
        <v>see peeps</v>
      </c>
      <c r="L2059" s="20" t="s">
        <v>175</v>
      </c>
      <c r="M2059" s="4"/>
      <c r="N2059" s="2" t="s">
        <v>133</v>
      </c>
      <c r="O2059" s="2"/>
      <c r="P2059" s="4">
        <v>1</v>
      </c>
      <c r="Q2059" s="2" t="s">
        <v>2693</v>
      </c>
      <c r="R2059" s="11">
        <f>SUBTOTAL(3,_xlfn.SINGLE(tbl_file[RowId]))</f>
        <v>1</v>
      </c>
    </row>
    <row r="2060" spans="10:18">
      <c r="J2060" s="4">
        <v>2431</v>
      </c>
      <c r="K2060" s="21" t="str">
        <f>HYPERLINK("obsidian://open?vault=o2&amp;file=see%20people.md","see people")</f>
        <v>see people</v>
      </c>
      <c r="L2060" s="20" t="s">
        <v>175</v>
      </c>
      <c r="M2060" s="4"/>
      <c r="N2060" s="2" t="s">
        <v>118</v>
      </c>
      <c r="O2060" s="2"/>
      <c r="P2060" s="4">
        <v>1</v>
      </c>
      <c r="Q2060" s="2" t="s">
        <v>1641</v>
      </c>
      <c r="R2060" s="11">
        <f>SUBTOTAL(3,_xlfn.SINGLE(tbl_file[RowId]))</f>
        <v>1</v>
      </c>
    </row>
    <row r="2061" spans="10:18">
      <c r="J2061" s="4">
        <v>2432</v>
      </c>
      <c r="K2061" s="21" t="str">
        <f>HYPERLINK("obsidian://open?vault=o2&amp;file=see%20people.md","see people")</f>
        <v>see people</v>
      </c>
      <c r="L2061" s="20" t="s">
        <v>175</v>
      </c>
      <c r="M2061" s="4"/>
      <c r="N2061" s="2" t="s">
        <v>123</v>
      </c>
      <c r="O2061" s="2"/>
      <c r="P2061" s="4">
        <v>1</v>
      </c>
      <c r="Q2061" s="2" t="s">
        <v>1564</v>
      </c>
      <c r="R2061" s="11">
        <f>SUBTOTAL(3,_xlfn.SINGLE(tbl_file[RowId]))</f>
        <v>1</v>
      </c>
    </row>
    <row r="2062" spans="10:18">
      <c r="J2062" s="4">
        <v>2433</v>
      </c>
      <c r="K2062" s="21" t="str">
        <f>HYPERLINK("obsidian://open?vault=o2&amp;file=see%20people.md","see people")</f>
        <v>see people</v>
      </c>
      <c r="L2062" s="20" t="s">
        <v>175</v>
      </c>
      <c r="M2062" s="4"/>
      <c r="N2062" s="2" t="s">
        <v>127</v>
      </c>
      <c r="O2062" s="2"/>
      <c r="P2062" s="4">
        <v>1</v>
      </c>
      <c r="Q2062" s="2" t="s">
        <v>1960</v>
      </c>
      <c r="R2062" s="11">
        <f>SUBTOTAL(3,_xlfn.SINGLE(tbl_file[RowId]))</f>
        <v>1</v>
      </c>
    </row>
    <row r="2063" spans="10:18">
      <c r="J2063" s="4">
        <v>2434</v>
      </c>
      <c r="K2063" s="21" t="str">
        <f>HYPERLINK("obsidian://open?vault=o2&amp;file=see%20people.md","see people")</f>
        <v>see people</v>
      </c>
      <c r="L2063" s="20" t="s">
        <v>175</v>
      </c>
      <c r="M2063" s="4"/>
      <c r="N2063" s="2" t="s">
        <v>2606</v>
      </c>
      <c r="O2063" s="2"/>
      <c r="P2063" s="4">
        <v>2</v>
      </c>
      <c r="Q2063" s="2" t="s">
        <v>3181</v>
      </c>
      <c r="R2063" s="11">
        <f>SUBTOTAL(3,_xlfn.SINGLE(tbl_file[RowId]))</f>
        <v>1</v>
      </c>
    </row>
    <row r="2064" spans="10:18">
      <c r="J2064" s="4">
        <v>2245</v>
      </c>
      <c r="K2064" s="21" t="str">
        <f>HYPERLINK("obsidian://open?vault=o2&amp;file=Sell%20Laminated%20Cheat%20Sheets.md","Sell Laminated Cheat Sheets")</f>
        <v>Sell Laminated Cheat Sheets</v>
      </c>
      <c r="L2064" s="20" t="s">
        <v>175</v>
      </c>
      <c r="M2064" s="4"/>
      <c r="N2064" s="2" t="s">
        <v>50</v>
      </c>
      <c r="O2064" s="2"/>
      <c r="P2064" s="4">
        <v>1</v>
      </c>
      <c r="Q2064" s="2" t="s">
        <v>1552</v>
      </c>
      <c r="R2064" s="11">
        <f>SUBTOTAL(3,_xlfn.SINGLE(tbl_file[RowId]))</f>
        <v>1</v>
      </c>
    </row>
    <row r="2065" spans="10:18">
      <c r="J2065" s="4">
        <v>2246</v>
      </c>
      <c r="K2065" s="21" t="str">
        <f>HYPERLINK("obsidian://open?vault=o2&amp;file=Sell%20Laminated%20Cheat%20Sheets.md","Sell Laminated Cheat Sheets")</f>
        <v>Sell Laminated Cheat Sheets</v>
      </c>
      <c r="L2065" s="20" t="s">
        <v>175</v>
      </c>
      <c r="M2065" s="4"/>
      <c r="N2065" s="2" t="s">
        <v>2606</v>
      </c>
      <c r="O2065" s="2"/>
      <c r="P2065" s="4">
        <v>1</v>
      </c>
      <c r="Q2065" s="2" t="s">
        <v>1932</v>
      </c>
      <c r="R2065" s="11">
        <f>SUBTOTAL(3,_xlfn.SINGLE(tbl_file[RowId]))</f>
        <v>1</v>
      </c>
    </row>
    <row r="2066" spans="10:18">
      <c r="J2066" s="4">
        <v>416</v>
      </c>
      <c r="K2066" s="21" t="str">
        <f t="shared" ref="K2066:K2071" si="76">HYPERLINK("obsidian://open?vault=o2&amp;file=Set%20Up%20and%20Secure%20a%20Compute%20Instance.md","Set Up and Secure a Compute Instance")</f>
        <v>Set Up and Secure a Compute Instance</v>
      </c>
      <c r="L2066" s="20" t="s">
        <v>175</v>
      </c>
      <c r="M2066" s="4"/>
      <c r="N2066" s="2" t="s">
        <v>13</v>
      </c>
      <c r="O2066" s="2"/>
      <c r="P2066" s="4">
        <v>1</v>
      </c>
      <c r="Q2066" s="2" t="s">
        <v>316</v>
      </c>
      <c r="R2066" s="11">
        <f>SUBTOTAL(3,_xlfn.SINGLE(tbl_file[RowId]))</f>
        <v>1</v>
      </c>
    </row>
    <row r="2067" spans="10:18">
      <c r="J2067" s="4">
        <v>417</v>
      </c>
      <c r="K2067" s="21" t="str">
        <f t="shared" si="76"/>
        <v>Set Up and Secure a Compute Instance</v>
      </c>
      <c r="L2067" s="20" t="s">
        <v>175</v>
      </c>
      <c r="M2067" s="4"/>
      <c r="N2067" s="2" t="s">
        <v>19</v>
      </c>
      <c r="O2067" s="2"/>
      <c r="P2067" s="4">
        <v>1</v>
      </c>
      <c r="Q2067" s="2" t="s">
        <v>395</v>
      </c>
      <c r="R2067" s="11">
        <f>SUBTOTAL(3,_xlfn.SINGLE(tbl_file[RowId]))</f>
        <v>1</v>
      </c>
    </row>
    <row r="2068" spans="10:18">
      <c r="J2068" s="4">
        <v>418</v>
      </c>
      <c r="K2068" s="21" t="str">
        <f t="shared" si="76"/>
        <v>Set Up and Secure a Compute Instance</v>
      </c>
      <c r="L2068" s="20" t="s">
        <v>175</v>
      </c>
      <c r="M2068" s="4"/>
      <c r="N2068" s="2" t="s">
        <v>127</v>
      </c>
      <c r="O2068" s="2"/>
      <c r="P2068" s="4">
        <v>1</v>
      </c>
      <c r="Q2068" s="2" t="s">
        <v>1960</v>
      </c>
      <c r="R2068" s="11">
        <f>SUBTOTAL(3,_xlfn.SINGLE(tbl_file[RowId]))</f>
        <v>1</v>
      </c>
    </row>
    <row r="2069" spans="10:18">
      <c r="J2069" s="4">
        <v>419</v>
      </c>
      <c r="K2069" s="21" t="str">
        <f t="shared" si="76"/>
        <v>Set Up and Secure a Compute Instance</v>
      </c>
      <c r="L2069" s="20" t="s">
        <v>175</v>
      </c>
      <c r="M2069" s="4"/>
      <c r="N2069" s="2" t="s">
        <v>2606</v>
      </c>
      <c r="O2069" s="2"/>
      <c r="P2069" s="4">
        <v>5</v>
      </c>
      <c r="Q2069" s="2" t="s">
        <v>2681</v>
      </c>
      <c r="R2069" s="11">
        <f>SUBTOTAL(3,_xlfn.SINGLE(tbl_file[RowId]))</f>
        <v>1</v>
      </c>
    </row>
    <row r="2070" spans="10:18">
      <c r="J2070" s="4">
        <v>420</v>
      </c>
      <c r="K2070" s="21" t="str">
        <f t="shared" si="76"/>
        <v>Set Up and Secure a Compute Instance</v>
      </c>
      <c r="L2070" s="20" t="s">
        <v>175</v>
      </c>
      <c r="M2070" s="4"/>
      <c r="N2070" s="2" t="s">
        <v>133</v>
      </c>
      <c r="O2070" s="2"/>
      <c r="P2070" s="4">
        <v>1</v>
      </c>
      <c r="Q2070" s="2" t="s">
        <v>2111</v>
      </c>
      <c r="R2070" s="11">
        <f>SUBTOTAL(3,_xlfn.SINGLE(tbl_file[RowId]))</f>
        <v>1</v>
      </c>
    </row>
    <row r="2071" spans="10:18">
      <c r="J2071" s="4">
        <v>421</v>
      </c>
      <c r="K2071" s="21" t="str">
        <f t="shared" si="76"/>
        <v>Set Up and Secure a Compute Instance</v>
      </c>
      <c r="L2071" s="20" t="s">
        <v>175</v>
      </c>
      <c r="M2071" s="4" t="s">
        <v>2626</v>
      </c>
      <c r="N2071" s="2" t="s">
        <v>2606</v>
      </c>
      <c r="O2071" s="2"/>
      <c r="P2071" s="4">
        <v>5</v>
      </c>
      <c r="Q2071" s="2" t="s">
        <v>2682</v>
      </c>
      <c r="R2071" s="11">
        <f>SUBTOTAL(3,_xlfn.SINGLE(tbl_file[RowId]))</f>
        <v>1</v>
      </c>
    </row>
    <row r="2072" spans="10:18">
      <c r="J2072" s="4">
        <v>2247</v>
      </c>
      <c r="K2072" s="21" t="str">
        <f t="shared" ref="K2072:K2077" si="77">HYPERLINK("obsidian://open?vault=o2&amp;file=Setting%20up%20periodic%20notes.md","Setting up periodic notes")</f>
        <v>Setting up periodic notes</v>
      </c>
      <c r="L2072" s="20" t="s">
        <v>175</v>
      </c>
      <c r="M2072" s="4"/>
      <c r="N2072" s="2" t="s">
        <v>50</v>
      </c>
      <c r="O2072" s="2"/>
      <c r="P2072" s="4">
        <v>5</v>
      </c>
      <c r="Q2072" s="2" t="s">
        <v>3108</v>
      </c>
      <c r="R2072" s="11">
        <f>SUBTOTAL(3,_xlfn.SINGLE(tbl_file[RowId]))</f>
        <v>1</v>
      </c>
    </row>
    <row r="2073" spans="10:18">
      <c r="J2073" s="4">
        <v>2248</v>
      </c>
      <c r="K2073" s="21" t="str">
        <f t="shared" si="77"/>
        <v>Setting up periodic notes</v>
      </c>
      <c r="L2073" s="20" t="s">
        <v>175</v>
      </c>
      <c r="M2073" s="4"/>
      <c r="N2073" s="2" t="s">
        <v>118</v>
      </c>
      <c r="O2073" s="2"/>
      <c r="P2073" s="4">
        <v>1</v>
      </c>
      <c r="Q2073" s="2" t="s">
        <v>1641</v>
      </c>
      <c r="R2073" s="11">
        <f>SUBTOTAL(3,_xlfn.SINGLE(tbl_file[RowId]))</f>
        <v>1</v>
      </c>
    </row>
    <row r="2074" spans="10:18">
      <c r="J2074" s="4">
        <v>2249</v>
      </c>
      <c r="K2074" s="21" t="str">
        <f t="shared" si="77"/>
        <v>Setting up periodic notes</v>
      </c>
      <c r="L2074" s="20" t="s">
        <v>175</v>
      </c>
      <c r="M2074" s="4"/>
      <c r="N2074" s="2" t="s">
        <v>123</v>
      </c>
      <c r="O2074" s="2"/>
      <c r="P2074" s="4">
        <v>1</v>
      </c>
      <c r="Q2074" s="2" t="s">
        <v>1564</v>
      </c>
      <c r="R2074" s="11">
        <f>SUBTOTAL(3,_xlfn.SINGLE(tbl_file[RowId]))</f>
        <v>1</v>
      </c>
    </row>
    <row r="2075" spans="10:18">
      <c r="J2075" s="4">
        <v>2250</v>
      </c>
      <c r="K2075" s="21" t="str">
        <f t="shared" si="77"/>
        <v>Setting up periodic notes</v>
      </c>
      <c r="L2075" s="20" t="s">
        <v>175</v>
      </c>
      <c r="M2075" s="4"/>
      <c r="N2075" s="2" t="s">
        <v>127</v>
      </c>
      <c r="O2075" s="2"/>
      <c r="P2075" s="4">
        <v>1</v>
      </c>
      <c r="Q2075" s="2" t="s">
        <v>1960</v>
      </c>
      <c r="R2075" s="11">
        <f>SUBTOTAL(3,_xlfn.SINGLE(tbl_file[RowId]))</f>
        <v>1</v>
      </c>
    </row>
    <row r="2076" spans="10:18">
      <c r="J2076" s="4">
        <v>2251</v>
      </c>
      <c r="K2076" s="21" t="str">
        <f t="shared" si="77"/>
        <v>Setting up periodic notes</v>
      </c>
      <c r="L2076" s="20" t="s">
        <v>175</v>
      </c>
      <c r="M2076" s="4"/>
      <c r="N2076" s="2" t="s">
        <v>129</v>
      </c>
      <c r="O2076" s="2"/>
      <c r="P2076" s="4">
        <v>1</v>
      </c>
      <c r="Q2076" s="2" t="s">
        <v>1430</v>
      </c>
      <c r="R2076" s="11">
        <f>SUBTOTAL(3,_xlfn.SINGLE(tbl_file[RowId]))</f>
        <v>1</v>
      </c>
    </row>
    <row r="2077" spans="10:18">
      <c r="J2077" s="4">
        <v>2252</v>
      </c>
      <c r="K2077" s="21" t="str">
        <f t="shared" si="77"/>
        <v>Setting up periodic notes</v>
      </c>
      <c r="L2077" s="20" t="s">
        <v>175</v>
      </c>
      <c r="M2077" s="4"/>
      <c r="N2077" s="2" t="s">
        <v>2606</v>
      </c>
      <c r="O2077" s="2"/>
      <c r="P2077" s="4">
        <v>1</v>
      </c>
      <c r="Q2077" s="2" t="s">
        <v>2420</v>
      </c>
      <c r="R2077" s="11">
        <f>SUBTOTAL(3,_xlfn.SINGLE(tbl_file[RowId]))</f>
        <v>1</v>
      </c>
    </row>
    <row r="2078" spans="10:18">
      <c r="J2078" s="4">
        <v>2297</v>
      </c>
      <c r="K2078" s="21" t="str">
        <f>HYPERLINK("obsidian://open?vault=o2&amp;file=Setup%20a%20VPN%20on%20your%20network.md","Setup a VPN on your network")</f>
        <v>Setup a VPN on your network</v>
      </c>
      <c r="L2078" s="20" t="s">
        <v>175</v>
      </c>
      <c r="M2078" s="4"/>
      <c r="N2078" s="2" t="s">
        <v>13</v>
      </c>
      <c r="O2078" s="2" t="s">
        <v>3150</v>
      </c>
      <c r="P2078" s="4">
        <v>1</v>
      </c>
      <c r="Q2078" s="2" t="s">
        <v>300</v>
      </c>
      <c r="R2078" s="11">
        <f>SUBTOTAL(3,_xlfn.SINGLE(tbl_file[RowId]))</f>
        <v>1</v>
      </c>
    </row>
    <row r="2079" spans="10:18">
      <c r="J2079" s="4">
        <v>2298</v>
      </c>
      <c r="K2079" s="21" t="str">
        <f>HYPERLINK("obsidian://open?vault=o2&amp;file=Setup%20a%20VPN%20on%20your%20network.md","Setup a VPN on your network")</f>
        <v>Setup a VPN on your network</v>
      </c>
      <c r="L2079" s="20" t="s">
        <v>175</v>
      </c>
      <c r="M2079" s="4"/>
      <c r="N2079" s="2" t="s">
        <v>50</v>
      </c>
      <c r="O2079" s="2"/>
      <c r="P2079" s="4">
        <v>2</v>
      </c>
      <c r="Q2079" s="2" t="s">
        <v>3151</v>
      </c>
      <c r="R2079" s="11">
        <f>SUBTOTAL(3,_xlfn.SINGLE(tbl_file[RowId]))</f>
        <v>1</v>
      </c>
    </row>
    <row r="2080" spans="10:18">
      <c r="J2080" s="4">
        <v>2299</v>
      </c>
      <c r="K2080" s="21" t="str">
        <f>HYPERLINK("obsidian://open?vault=o2&amp;file=Setup%20a%20VPN%20on%20your%20network.md","Setup a VPN on your network")</f>
        <v>Setup a VPN on your network</v>
      </c>
      <c r="L2080" s="20" t="s">
        <v>175</v>
      </c>
      <c r="M2080" s="4"/>
      <c r="N2080" s="2" t="s">
        <v>127</v>
      </c>
      <c r="O2080" s="2"/>
      <c r="P2080" s="4">
        <v>1</v>
      </c>
      <c r="Q2080" s="2" t="s">
        <v>1960</v>
      </c>
      <c r="R2080" s="11">
        <f>SUBTOTAL(3,_xlfn.SINGLE(tbl_file[RowId]))</f>
        <v>1</v>
      </c>
    </row>
    <row r="2081" spans="10:18">
      <c r="J2081" s="4">
        <v>2300</v>
      </c>
      <c r="K2081" s="21" t="str">
        <f>HYPERLINK("obsidian://open?vault=o2&amp;file=Setup%20a%20VPN%20on%20your%20network.md","Setup a VPN on your network")</f>
        <v>Setup a VPN on your network</v>
      </c>
      <c r="L2081" s="20" t="s">
        <v>175</v>
      </c>
      <c r="M2081" s="4"/>
      <c r="N2081" s="2" t="s">
        <v>2606</v>
      </c>
      <c r="O2081" s="2"/>
      <c r="P2081" s="4">
        <v>6</v>
      </c>
      <c r="Q2081" s="2" t="s">
        <v>3152</v>
      </c>
      <c r="R2081" s="11">
        <f>SUBTOTAL(3,_xlfn.SINGLE(tbl_file[RowId]))</f>
        <v>1</v>
      </c>
    </row>
    <row r="2082" spans="10:18">
      <c r="J2082" s="4">
        <v>2301</v>
      </c>
      <c r="K2082" s="21" t="str">
        <f>HYPERLINK("obsidian://open?vault=o2&amp;file=Setup%20a%20VPN%20on%20your%20network.md","Setup a VPN on your network")</f>
        <v>Setup a VPN on your network</v>
      </c>
      <c r="L2082" s="20" t="s">
        <v>175</v>
      </c>
      <c r="M2082" s="4"/>
      <c r="N2082" s="2" t="s">
        <v>133</v>
      </c>
      <c r="O2082" s="2" t="s">
        <v>2637</v>
      </c>
      <c r="P2082" s="4">
        <v>1</v>
      </c>
      <c r="Q2082" s="2" t="s">
        <v>2107</v>
      </c>
      <c r="R2082" s="11">
        <f>SUBTOTAL(3,_xlfn.SINGLE(tbl_file[RowId]))</f>
        <v>1</v>
      </c>
    </row>
    <row r="2083" spans="10:18">
      <c r="J2083" s="4">
        <v>2302</v>
      </c>
      <c r="K2083" s="21" t="str">
        <f t="shared" ref="K2083:K2088" si="78">HYPERLINK("obsidian://open?vault=o2&amp;file=Setup%20bash%20and%20VIM.md","Setup bash and VIM")</f>
        <v>Setup bash and VIM</v>
      </c>
      <c r="L2083" s="20" t="s">
        <v>175</v>
      </c>
      <c r="M2083" s="4"/>
      <c r="N2083" s="2" t="s">
        <v>50</v>
      </c>
      <c r="O2083" s="2"/>
      <c r="P2083" s="4">
        <v>1</v>
      </c>
      <c r="Q2083" s="2" t="s">
        <v>1474</v>
      </c>
      <c r="R2083" s="11">
        <f>SUBTOTAL(3,_xlfn.SINGLE(tbl_file[RowId]))</f>
        <v>1</v>
      </c>
    </row>
    <row r="2084" spans="10:18">
      <c r="J2084" s="4">
        <v>2303</v>
      </c>
      <c r="K2084" s="21" t="str">
        <f t="shared" si="78"/>
        <v>Setup bash and VIM</v>
      </c>
      <c r="L2084" s="20" t="s">
        <v>175</v>
      </c>
      <c r="M2084" s="4"/>
      <c r="N2084" s="2" t="s">
        <v>123</v>
      </c>
      <c r="O2084" s="2"/>
      <c r="P2084" s="4">
        <v>1</v>
      </c>
      <c r="Q2084" s="2" t="s">
        <v>1813</v>
      </c>
      <c r="R2084" s="11">
        <f>SUBTOTAL(3,_xlfn.SINGLE(tbl_file[RowId]))</f>
        <v>1</v>
      </c>
    </row>
    <row r="2085" spans="10:18">
      <c r="J2085" s="4">
        <v>2304</v>
      </c>
      <c r="K2085" s="21" t="str">
        <f t="shared" si="78"/>
        <v>Setup bash and VIM</v>
      </c>
      <c r="L2085" s="20" t="s">
        <v>175</v>
      </c>
      <c r="M2085" s="4"/>
      <c r="N2085" s="2" t="s">
        <v>127</v>
      </c>
      <c r="O2085" s="2"/>
      <c r="P2085" s="4">
        <v>1</v>
      </c>
      <c r="Q2085" s="2" t="s">
        <v>1968</v>
      </c>
      <c r="R2085" s="11">
        <f>SUBTOTAL(3,_xlfn.SINGLE(tbl_file[RowId]))</f>
        <v>1</v>
      </c>
    </row>
    <row r="2086" spans="10:18">
      <c r="J2086" s="4">
        <v>2305</v>
      </c>
      <c r="K2086" s="21" t="str">
        <f t="shared" si="78"/>
        <v>Setup bash and VIM</v>
      </c>
      <c r="L2086" s="20" t="s">
        <v>175</v>
      </c>
      <c r="M2086" s="4"/>
      <c r="N2086" s="2" t="s">
        <v>2606</v>
      </c>
      <c r="O2086" s="2"/>
      <c r="P2086" s="4">
        <v>3</v>
      </c>
      <c r="Q2086" s="2" t="s">
        <v>3153</v>
      </c>
      <c r="R2086" s="11">
        <f>SUBTOTAL(3,_xlfn.SINGLE(tbl_file[RowId]))</f>
        <v>1</v>
      </c>
    </row>
    <row r="2087" spans="10:18">
      <c r="J2087" s="4">
        <v>2306</v>
      </c>
      <c r="K2087" s="21" t="str">
        <f t="shared" si="78"/>
        <v>Setup bash and VIM</v>
      </c>
      <c r="L2087" s="20" t="s">
        <v>175</v>
      </c>
      <c r="M2087" s="4"/>
      <c r="N2087" s="2" t="s">
        <v>133</v>
      </c>
      <c r="O2087" s="2"/>
      <c r="P2087" s="4">
        <v>1</v>
      </c>
      <c r="Q2087" s="2" t="s">
        <v>2107</v>
      </c>
      <c r="R2087" s="11">
        <f>SUBTOTAL(3,_xlfn.SINGLE(tbl_file[RowId]))</f>
        <v>1</v>
      </c>
    </row>
    <row r="2088" spans="10:18">
      <c r="J2088" s="4">
        <v>2307</v>
      </c>
      <c r="K2088" s="21" t="str">
        <f t="shared" si="78"/>
        <v>Setup bash and VIM</v>
      </c>
      <c r="L2088" s="20" t="s">
        <v>175</v>
      </c>
      <c r="M2088" s="4" t="s">
        <v>2626</v>
      </c>
      <c r="N2088" s="2" t="s">
        <v>2606</v>
      </c>
      <c r="O2088" s="2"/>
      <c r="P2088" s="4">
        <v>1</v>
      </c>
      <c r="Q2088" s="2" t="s">
        <v>2368</v>
      </c>
      <c r="R2088" s="11">
        <f>SUBTOTAL(3,_xlfn.SINGLE(tbl_file[RowId]))</f>
        <v>1</v>
      </c>
    </row>
    <row r="2089" spans="10:18">
      <c r="J2089" s="4">
        <v>2253</v>
      </c>
      <c r="K2089" s="21" t="str">
        <f>HYPERLINK("obsidian://open?vault=o2&amp;file=Setup%20Certificate.md","Setup Certificate")</f>
        <v>Setup Certificate</v>
      </c>
      <c r="L2089" s="20" t="s">
        <v>175</v>
      </c>
      <c r="M2089" s="4"/>
      <c r="N2089" s="2" t="s">
        <v>12</v>
      </c>
      <c r="O2089" s="2"/>
      <c r="P2089" s="4">
        <v>1</v>
      </c>
      <c r="Q2089" s="2" t="s">
        <v>264</v>
      </c>
      <c r="R2089" s="11">
        <f>SUBTOTAL(3,_xlfn.SINGLE(tbl_file[RowId]))</f>
        <v>1</v>
      </c>
    </row>
    <row r="2090" spans="10:18">
      <c r="J2090" s="4">
        <v>2254</v>
      </c>
      <c r="K2090" s="21" t="str">
        <f>HYPERLINK("obsidian://open?vault=o2&amp;file=Setup%20Certificate.md","Setup Certificate")</f>
        <v>Setup Certificate</v>
      </c>
      <c r="L2090" s="20" t="s">
        <v>175</v>
      </c>
      <c r="M2090" s="4"/>
      <c r="N2090" s="2" t="s">
        <v>50</v>
      </c>
      <c r="O2090" s="2"/>
      <c r="P2090" s="4">
        <v>1</v>
      </c>
      <c r="Q2090" s="2" t="s">
        <v>1556</v>
      </c>
      <c r="R2090" s="11">
        <f>SUBTOTAL(3,_xlfn.SINGLE(tbl_file[RowId]))</f>
        <v>1</v>
      </c>
    </row>
    <row r="2091" spans="10:18">
      <c r="J2091" s="4">
        <v>2255</v>
      </c>
      <c r="K2091" s="21" t="str">
        <f>HYPERLINK("obsidian://open?vault=o2&amp;file=Setup%20Certificate.md","Setup Certificate")</f>
        <v>Setup Certificate</v>
      </c>
      <c r="L2091" s="20" t="s">
        <v>175</v>
      </c>
      <c r="M2091" s="4"/>
      <c r="N2091" s="2" t="s">
        <v>118</v>
      </c>
      <c r="O2091" s="2"/>
      <c r="P2091" s="4">
        <v>1</v>
      </c>
      <c r="Q2091" s="2" t="s">
        <v>1474</v>
      </c>
      <c r="R2091" s="11">
        <f>SUBTOTAL(3,_xlfn.SINGLE(tbl_file[RowId]))</f>
        <v>1</v>
      </c>
    </row>
    <row r="2092" spans="10:18">
      <c r="J2092" s="4">
        <v>2256</v>
      </c>
      <c r="K2092" s="21" t="str">
        <f>HYPERLINK("obsidian://open?vault=o2&amp;file=Setup%20Certificate.md","Setup Certificate")</f>
        <v>Setup Certificate</v>
      </c>
      <c r="L2092" s="20" t="s">
        <v>175</v>
      </c>
      <c r="M2092" s="4"/>
      <c r="N2092" s="2" t="s">
        <v>2606</v>
      </c>
      <c r="O2092" s="2"/>
      <c r="P2092" s="4">
        <v>4</v>
      </c>
      <c r="Q2092" s="2" t="s">
        <v>3140</v>
      </c>
      <c r="R2092" s="11">
        <f>SUBTOTAL(3,_xlfn.SINGLE(tbl_file[RowId]))</f>
        <v>1</v>
      </c>
    </row>
    <row r="2093" spans="10:18">
      <c r="J2093" s="4">
        <v>2257</v>
      </c>
      <c r="K2093" s="21" t="str">
        <f>HYPERLINK("obsidian://open?vault=o2&amp;file=Setup%20Certificate.md","Setup Certificate")</f>
        <v>Setup Certificate</v>
      </c>
      <c r="L2093" s="20" t="s">
        <v>175</v>
      </c>
      <c r="M2093" s="4"/>
      <c r="N2093" s="2" t="s">
        <v>133</v>
      </c>
      <c r="O2093" s="2"/>
      <c r="P2093" s="4">
        <v>1</v>
      </c>
      <c r="Q2093" s="2" t="s">
        <v>2107</v>
      </c>
      <c r="R2093" s="11">
        <f>SUBTOTAL(3,_xlfn.SINGLE(tbl_file[RowId]))</f>
        <v>1</v>
      </c>
    </row>
    <row r="2094" spans="10:18">
      <c r="J2094" s="4">
        <v>2258</v>
      </c>
      <c r="K2094" s="21" t="str">
        <f>HYPERLINK("obsidian://open?vault=o2&amp;file=Setup%20Cloudflare.md","Setup Cloudflare")</f>
        <v>Setup Cloudflare</v>
      </c>
      <c r="L2094" s="20" t="s">
        <v>175</v>
      </c>
      <c r="M2094" s="4"/>
      <c r="N2094" s="2" t="s">
        <v>50</v>
      </c>
      <c r="O2094" s="2"/>
      <c r="P2094" s="4">
        <v>2</v>
      </c>
      <c r="Q2094" s="2" t="s">
        <v>3141</v>
      </c>
      <c r="R2094" s="11">
        <f>SUBTOTAL(3,_xlfn.SINGLE(tbl_file[RowId]))</f>
        <v>1</v>
      </c>
    </row>
    <row r="2095" spans="10:18">
      <c r="J2095" s="4">
        <v>2259</v>
      </c>
      <c r="K2095" s="21" t="str">
        <f>HYPERLINK("obsidian://open?vault=o2&amp;file=Setup%20Cloudflare.md","Setup Cloudflare")</f>
        <v>Setup Cloudflare</v>
      </c>
      <c r="L2095" s="20" t="s">
        <v>175</v>
      </c>
      <c r="M2095" s="4"/>
      <c r="N2095" s="2" t="s">
        <v>127</v>
      </c>
      <c r="O2095" s="2"/>
      <c r="P2095" s="4">
        <v>1</v>
      </c>
      <c r="Q2095" s="2" t="s">
        <v>1960</v>
      </c>
      <c r="R2095" s="11">
        <f>SUBTOTAL(3,_xlfn.SINGLE(tbl_file[RowId]))</f>
        <v>1</v>
      </c>
    </row>
    <row r="2096" spans="10:18">
      <c r="J2096" s="4">
        <v>2260</v>
      </c>
      <c r="K2096" s="21" t="str">
        <f>HYPERLINK("obsidian://open?vault=o2&amp;file=Setup%20Cloudflare.md","Setup Cloudflare")</f>
        <v>Setup Cloudflare</v>
      </c>
      <c r="L2096" s="20" t="s">
        <v>175</v>
      </c>
      <c r="M2096" s="4"/>
      <c r="N2096" s="2" t="s">
        <v>2606</v>
      </c>
      <c r="O2096" s="2"/>
      <c r="P2096" s="4">
        <v>4</v>
      </c>
      <c r="Q2096" s="2" t="s">
        <v>3142</v>
      </c>
      <c r="R2096" s="11">
        <f>SUBTOTAL(3,_xlfn.SINGLE(tbl_file[RowId]))</f>
        <v>1</v>
      </c>
    </row>
    <row r="2097" spans="10:18">
      <c r="J2097" s="4">
        <v>2261</v>
      </c>
      <c r="K2097" s="21" t="str">
        <f>HYPERLINK("obsidian://open?vault=o2&amp;file=Setup%20Cloudflare.md","Setup Cloudflare")</f>
        <v>Setup Cloudflare</v>
      </c>
      <c r="L2097" s="20" t="s">
        <v>175</v>
      </c>
      <c r="M2097" s="4"/>
      <c r="N2097" s="2" t="s">
        <v>133</v>
      </c>
      <c r="O2097" s="2"/>
      <c r="P2097" s="4">
        <v>1</v>
      </c>
      <c r="Q2097" s="2" t="s">
        <v>2111</v>
      </c>
      <c r="R2097" s="11">
        <f>SUBTOTAL(3,_xlfn.SINGLE(tbl_file[RowId]))</f>
        <v>1</v>
      </c>
    </row>
    <row r="2098" spans="10:18">
      <c r="J2098" s="4">
        <v>49</v>
      </c>
      <c r="K2098" s="21" t="str">
        <f>HYPERLINK("obsidian://open?vault=o2&amp;file=Setup%20DDNS%20on%20Cloudflare.md","Setup DDNS on Cloudflare")</f>
        <v>Setup DDNS on Cloudflare</v>
      </c>
      <c r="L2098" s="20" t="s">
        <v>175</v>
      </c>
      <c r="M2098" s="4"/>
      <c r="N2098" s="2" t="s">
        <v>127</v>
      </c>
      <c r="O2098" s="2"/>
      <c r="P2098" s="4">
        <v>1</v>
      </c>
      <c r="Q2098" s="2" t="s">
        <v>1960</v>
      </c>
      <c r="R2098" s="11">
        <f>SUBTOTAL(3,_xlfn.SINGLE(tbl_file[RowId]))</f>
        <v>1</v>
      </c>
    </row>
    <row r="2099" spans="10:18">
      <c r="J2099" s="4">
        <v>50</v>
      </c>
      <c r="K2099" s="21" t="str">
        <f>HYPERLINK("obsidian://open?vault=o2&amp;file=Setup%20DDNS%20on%20Cloudflare.md","Setup DDNS on Cloudflare")</f>
        <v>Setup DDNS on Cloudflare</v>
      </c>
      <c r="L2099" s="20" t="s">
        <v>175</v>
      </c>
      <c r="M2099" s="4"/>
      <c r="N2099" s="2" t="s">
        <v>2606</v>
      </c>
      <c r="O2099" s="2"/>
      <c r="P2099" s="4">
        <v>4</v>
      </c>
      <c r="Q2099" s="2" t="s">
        <v>2616</v>
      </c>
      <c r="R2099" s="11">
        <f>SUBTOTAL(3,_xlfn.SINGLE(tbl_file[RowId]))</f>
        <v>1</v>
      </c>
    </row>
    <row r="2100" spans="10:18">
      <c r="J2100" s="4">
        <v>51</v>
      </c>
      <c r="K2100" s="21" t="str">
        <f>HYPERLINK("obsidian://open?vault=o2&amp;file=Setup%20DDNS%20on%20Cloudflare.md","Setup DDNS on Cloudflare")</f>
        <v>Setup DDNS on Cloudflare</v>
      </c>
      <c r="L2100" s="20" t="s">
        <v>175</v>
      </c>
      <c r="M2100" s="4"/>
      <c r="N2100" s="2" t="s">
        <v>133</v>
      </c>
      <c r="O2100" s="2"/>
      <c r="P2100" s="4">
        <v>1</v>
      </c>
      <c r="Q2100" s="2" t="s">
        <v>2111</v>
      </c>
      <c r="R2100" s="11">
        <f>SUBTOTAL(3,_xlfn.SINGLE(tbl_file[RowId]))</f>
        <v>1</v>
      </c>
    </row>
    <row r="2101" spans="10:18">
      <c r="J2101" s="4">
        <v>2262</v>
      </c>
      <c r="K2101" s="21" t="str">
        <f>HYPERLINK("obsidian://open?vault=o2&amp;file=Setup%20DDNS-go.md","Setup DDNS-go")</f>
        <v>Setup DDNS-go</v>
      </c>
      <c r="L2101" s="20" t="s">
        <v>175</v>
      </c>
      <c r="M2101" s="4"/>
      <c r="N2101" s="2" t="s">
        <v>50</v>
      </c>
      <c r="O2101" s="2"/>
      <c r="P2101" s="4">
        <v>2</v>
      </c>
      <c r="Q2101" s="2" t="s">
        <v>3143</v>
      </c>
      <c r="R2101" s="11">
        <f>SUBTOTAL(3,_xlfn.SINGLE(tbl_file[RowId]))</f>
        <v>1</v>
      </c>
    </row>
    <row r="2102" spans="10:18">
      <c r="J2102" s="4">
        <v>2263</v>
      </c>
      <c r="K2102" s="21" t="str">
        <f>HYPERLINK("obsidian://open?vault=o2&amp;file=Setup%20DDNS-go.md","Setup DDNS-go")</f>
        <v>Setup DDNS-go</v>
      </c>
      <c r="L2102" s="20" t="s">
        <v>175</v>
      </c>
      <c r="M2102" s="4"/>
      <c r="N2102" s="2" t="s">
        <v>127</v>
      </c>
      <c r="O2102" s="2"/>
      <c r="P2102" s="4">
        <v>1</v>
      </c>
      <c r="Q2102" s="2" t="s">
        <v>1954</v>
      </c>
      <c r="R2102" s="11">
        <f>SUBTOTAL(3,_xlfn.SINGLE(tbl_file[RowId]))</f>
        <v>1</v>
      </c>
    </row>
    <row r="2103" spans="10:18">
      <c r="J2103" s="4">
        <v>2264</v>
      </c>
      <c r="K2103" s="21" t="str">
        <f>HYPERLINK("obsidian://open?vault=o2&amp;file=Setup%20DDNS-go.md","Setup DDNS-go")</f>
        <v>Setup DDNS-go</v>
      </c>
      <c r="L2103" s="20" t="s">
        <v>175</v>
      </c>
      <c r="M2103" s="4"/>
      <c r="N2103" s="2" t="s">
        <v>2606</v>
      </c>
      <c r="O2103" s="2"/>
      <c r="P2103" s="4">
        <v>3</v>
      </c>
      <c r="Q2103" s="2" t="s">
        <v>3144</v>
      </c>
      <c r="R2103" s="11">
        <f>SUBTOTAL(3,_xlfn.SINGLE(tbl_file[RowId]))</f>
        <v>1</v>
      </c>
    </row>
    <row r="2104" spans="10:18">
      <c r="J2104" s="4">
        <v>2265</v>
      </c>
      <c r="K2104" s="21" t="str">
        <f>HYPERLINK("obsidian://open?vault=o2&amp;file=Setup%20DDNS-go.md","Setup DDNS-go")</f>
        <v>Setup DDNS-go</v>
      </c>
      <c r="L2104" s="20" t="s">
        <v>175</v>
      </c>
      <c r="M2104" s="4"/>
      <c r="N2104" s="2" t="s">
        <v>133</v>
      </c>
      <c r="O2104" s="2"/>
      <c r="P2104" s="4">
        <v>1</v>
      </c>
      <c r="Q2104" s="2" t="s">
        <v>2107</v>
      </c>
      <c r="R2104" s="11">
        <f>SUBTOTAL(3,_xlfn.SINGLE(tbl_file[RowId]))</f>
        <v>1</v>
      </c>
    </row>
    <row r="2105" spans="10:18">
      <c r="J2105" s="4">
        <v>290</v>
      </c>
      <c r="K2105" s="21" t="str">
        <f>HYPERLINK("obsidian://open?vault=o2&amp;file=Setup%20Deluge.md","Setup Deluge")</f>
        <v>Setup Deluge</v>
      </c>
      <c r="L2105" s="20" t="s">
        <v>175</v>
      </c>
      <c r="M2105" s="4"/>
      <c r="N2105" s="2" t="s">
        <v>50</v>
      </c>
      <c r="O2105" s="2"/>
      <c r="P2105" s="4">
        <v>1</v>
      </c>
      <c r="Q2105" s="2" t="s">
        <v>1645</v>
      </c>
      <c r="R2105" s="11">
        <f>SUBTOTAL(3,_xlfn.SINGLE(tbl_file[RowId]))</f>
        <v>1</v>
      </c>
    </row>
    <row r="2106" spans="10:18">
      <c r="J2106" s="4">
        <v>291</v>
      </c>
      <c r="K2106" s="21" t="str">
        <f>HYPERLINK("obsidian://open?vault=o2&amp;file=Setup%20Deluge.md","Setup Deluge")</f>
        <v>Setup Deluge</v>
      </c>
      <c r="L2106" s="20" t="s">
        <v>175</v>
      </c>
      <c r="M2106" s="4"/>
      <c r="N2106" s="2" t="s">
        <v>127</v>
      </c>
      <c r="O2106" s="2"/>
      <c r="P2106" s="4">
        <v>1</v>
      </c>
      <c r="Q2106" s="2" t="s">
        <v>1960</v>
      </c>
      <c r="R2106" s="11">
        <f>SUBTOTAL(3,_xlfn.SINGLE(tbl_file[RowId]))</f>
        <v>1</v>
      </c>
    </row>
    <row r="2107" spans="10:18">
      <c r="J2107" s="4">
        <v>292</v>
      </c>
      <c r="K2107" s="21" t="str">
        <f>HYPERLINK("obsidian://open?vault=o2&amp;file=Setup%20Deluge.md","Setup Deluge")</f>
        <v>Setup Deluge</v>
      </c>
      <c r="L2107" s="20" t="s">
        <v>175</v>
      </c>
      <c r="M2107" s="4"/>
      <c r="N2107" s="2" t="s">
        <v>2606</v>
      </c>
      <c r="O2107" s="2"/>
      <c r="P2107" s="4">
        <v>3</v>
      </c>
      <c r="Q2107" s="2" t="s">
        <v>2659</v>
      </c>
      <c r="R2107" s="11">
        <f>SUBTOTAL(3,_xlfn.SINGLE(tbl_file[RowId]))</f>
        <v>1</v>
      </c>
    </row>
    <row r="2108" spans="10:18">
      <c r="J2108" s="4">
        <v>293</v>
      </c>
      <c r="K2108" s="21" t="str">
        <f>HYPERLINK("obsidian://open?vault=o2&amp;file=Setup%20Deluge.md","Setup Deluge")</f>
        <v>Setup Deluge</v>
      </c>
      <c r="L2108" s="20" t="s">
        <v>175</v>
      </c>
      <c r="M2108" s="4"/>
      <c r="N2108" s="2" t="s">
        <v>133</v>
      </c>
      <c r="O2108" s="2"/>
      <c r="P2108" s="4">
        <v>1</v>
      </c>
      <c r="Q2108" s="2" t="s">
        <v>2111</v>
      </c>
      <c r="R2108" s="11">
        <f>SUBTOTAL(3,_xlfn.SINGLE(tbl_file[RowId]))</f>
        <v>1</v>
      </c>
    </row>
    <row r="2109" spans="10:18">
      <c r="J2109" s="4">
        <v>52</v>
      </c>
      <c r="K2109" s="21" t="str">
        <f>HYPERLINK("obsidian://open?vault=o2&amp;file=Setup%20DuckDNS%20and%20ACME%20DNS-01.md","Setup DuckDNS and ACME DNS-01")</f>
        <v>Setup DuckDNS and ACME DNS-01</v>
      </c>
      <c r="L2109" s="20" t="s">
        <v>175</v>
      </c>
      <c r="M2109" s="4"/>
      <c r="N2109" s="2" t="s">
        <v>50</v>
      </c>
      <c r="O2109" s="2"/>
      <c r="P2109" s="4">
        <v>1</v>
      </c>
      <c r="Q2109" s="2" t="s">
        <v>1472</v>
      </c>
      <c r="R2109" s="11">
        <f>SUBTOTAL(3,_xlfn.SINGLE(tbl_file[RowId]))</f>
        <v>1</v>
      </c>
    </row>
    <row r="2110" spans="10:18">
      <c r="J2110" s="4">
        <v>53</v>
      </c>
      <c r="K2110" s="21" t="str">
        <f>HYPERLINK("obsidian://open?vault=o2&amp;file=Setup%20DuckDNS%20and%20ACME%20DNS-01.md","Setup DuckDNS and ACME DNS-01")</f>
        <v>Setup DuckDNS and ACME DNS-01</v>
      </c>
      <c r="L2110" s="20" t="s">
        <v>175</v>
      </c>
      <c r="M2110" s="4"/>
      <c r="N2110" s="2" t="s">
        <v>127</v>
      </c>
      <c r="O2110" s="2"/>
      <c r="P2110" s="4">
        <v>1</v>
      </c>
      <c r="Q2110" s="2" t="s">
        <v>1960</v>
      </c>
      <c r="R2110" s="11">
        <f>SUBTOTAL(3,_xlfn.SINGLE(tbl_file[RowId]))</f>
        <v>1</v>
      </c>
    </row>
    <row r="2111" spans="10:18">
      <c r="J2111" s="4">
        <v>54</v>
      </c>
      <c r="K2111" s="21" t="str">
        <f>HYPERLINK("obsidian://open?vault=o2&amp;file=Setup%20DuckDNS%20and%20ACME%20DNS-01.md","Setup DuckDNS and ACME DNS-01")</f>
        <v>Setup DuckDNS and ACME DNS-01</v>
      </c>
      <c r="L2111" s="20" t="s">
        <v>175</v>
      </c>
      <c r="M2111" s="4"/>
      <c r="N2111" s="2" t="s">
        <v>2606</v>
      </c>
      <c r="O2111" s="2"/>
      <c r="P2111" s="4">
        <v>4</v>
      </c>
      <c r="Q2111" s="2" t="s">
        <v>2617</v>
      </c>
      <c r="R2111" s="11">
        <f>SUBTOTAL(3,_xlfn.SINGLE(tbl_file[RowId]))</f>
        <v>1</v>
      </c>
    </row>
    <row r="2112" spans="10:18">
      <c r="J2112" s="4">
        <v>55</v>
      </c>
      <c r="K2112" s="21" t="str">
        <f>HYPERLINK("obsidian://open?vault=o2&amp;file=Setup%20DuckDNS%20and%20ACME%20DNS-01.md","Setup DuckDNS and ACME DNS-01")</f>
        <v>Setup DuckDNS and ACME DNS-01</v>
      </c>
      <c r="L2112" s="20" t="s">
        <v>175</v>
      </c>
      <c r="M2112" s="4"/>
      <c r="N2112" s="2" t="s">
        <v>133</v>
      </c>
      <c r="O2112" s="2"/>
      <c r="P2112" s="4">
        <v>1</v>
      </c>
      <c r="Q2112" s="2" t="s">
        <v>2111</v>
      </c>
      <c r="R2112" s="11">
        <f>SUBTOTAL(3,_xlfn.SINGLE(tbl_file[RowId]))</f>
        <v>1</v>
      </c>
    </row>
    <row r="2113" spans="10:18">
      <c r="J2113" s="4">
        <v>56</v>
      </c>
      <c r="K2113" s="21" t="str">
        <f>HYPERLINK("obsidian://open?vault=o2&amp;file=Setup%20GPU%20on%20Zimaboard.md","Setup GPU on Zimaboard")</f>
        <v>Setup GPU on Zimaboard</v>
      </c>
      <c r="L2113" s="20" t="s">
        <v>175</v>
      </c>
      <c r="M2113" s="4"/>
      <c r="N2113" s="2" t="s">
        <v>50</v>
      </c>
      <c r="O2113" s="2"/>
      <c r="P2113" s="4">
        <v>2</v>
      </c>
      <c r="Q2113" s="2" t="s">
        <v>2618</v>
      </c>
      <c r="R2113" s="11">
        <f>SUBTOTAL(3,_xlfn.SINGLE(tbl_file[RowId]))</f>
        <v>1</v>
      </c>
    </row>
    <row r="2114" spans="10:18">
      <c r="J2114" s="4">
        <v>57</v>
      </c>
      <c r="K2114" s="21" t="str">
        <f>HYPERLINK("obsidian://open?vault=o2&amp;file=Setup%20GPU%20on%20Zimaboard.md","Setup GPU on Zimaboard")</f>
        <v>Setup GPU on Zimaboard</v>
      </c>
      <c r="L2114" s="20" t="s">
        <v>175</v>
      </c>
      <c r="M2114" s="4"/>
      <c r="N2114" s="2" t="s">
        <v>127</v>
      </c>
      <c r="O2114" s="2"/>
      <c r="P2114" s="4">
        <v>1</v>
      </c>
      <c r="Q2114" s="2" t="s">
        <v>1960</v>
      </c>
      <c r="R2114" s="11">
        <f>SUBTOTAL(3,_xlfn.SINGLE(tbl_file[RowId]))</f>
        <v>1</v>
      </c>
    </row>
    <row r="2115" spans="10:18">
      <c r="J2115" s="4">
        <v>58</v>
      </c>
      <c r="K2115" s="21" t="str">
        <f>HYPERLINK("obsidian://open?vault=o2&amp;file=Setup%20GPU%20on%20Zimaboard.md","Setup GPU on Zimaboard")</f>
        <v>Setup GPU on Zimaboard</v>
      </c>
      <c r="L2115" s="20" t="s">
        <v>175</v>
      </c>
      <c r="M2115" s="4"/>
      <c r="N2115" s="2" t="s">
        <v>2606</v>
      </c>
      <c r="O2115" s="2"/>
      <c r="P2115" s="4">
        <v>2</v>
      </c>
      <c r="Q2115" s="2" t="s">
        <v>2619</v>
      </c>
      <c r="R2115" s="11">
        <f>SUBTOTAL(3,_xlfn.SINGLE(tbl_file[RowId]))</f>
        <v>1</v>
      </c>
    </row>
    <row r="2116" spans="10:18">
      <c r="J2116" s="4">
        <v>59</v>
      </c>
      <c r="K2116" s="21" t="str">
        <f>HYPERLINK("obsidian://open?vault=o2&amp;file=Setup%20GPU%20on%20Zimaboard.md","Setup GPU on Zimaboard")</f>
        <v>Setup GPU on Zimaboard</v>
      </c>
      <c r="L2116" s="20" t="s">
        <v>175</v>
      </c>
      <c r="M2116" s="4"/>
      <c r="N2116" s="2" t="s">
        <v>133</v>
      </c>
      <c r="O2116" s="2"/>
      <c r="P2116" s="4">
        <v>1</v>
      </c>
      <c r="Q2116" s="2" t="s">
        <v>2111</v>
      </c>
      <c r="R2116" s="11">
        <f>SUBTOTAL(3,_xlfn.SINGLE(tbl_file[RowId]))</f>
        <v>1</v>
      </c>
    </row>
    <row r="2117" spans="10:18">
      <c r="J2117" s="4">
        <v>60</v>
      </c>
      <c r="K2117" s="21" t="str">
        <f>HYPERLINK("obsidian://open?vault=o2&amp;file=Setup%20Homarr%20%28Servarr%20Management%29.md","Setup Homarr (Servarr Management)")</f>
        <v>Setup Homarr (Servarr Management)</v>
      </c>
      <c r="L2117" s="20" t="s">
        <v>175</v>
      </c>
      <c r="M2117" s="4"/>
      <c r="N2117" s="2" t="s">
        <v>127</v>
      </c>
      <c r="O2117" s="2"/>
      <c r="P2117" s="4">
        <v>1</v>
      </c>
      <c r="Q2117" s="2" t="s">
        <v>1960</v>
      </c>
      <c r="R2117" s="11">
        <f>SUBTOTAL(3,_xlfn.SINGLE(tbl_file[RowId]))</f>
        <v>1</v>
      </c>
    </row>
    <row r="2118" spans="10:18">
      <c r="J2118" s="4">
        <v>61</v>
      </c>
      <c r="K2118" s="21" t="str">
        <f>HYPERLINK("obsidian://open?vault=o2&amp;file=Setup%20Homarr%20%28Servarr%20Management%29.md","Setup Homarr (Servarr Management)")</f>
        <v>Setup Homarr (Servarr Management)</v>
      </c>
      <c r="L2118" s="20" t="s">
        <v>175</v>
      </c>
      <c r="M2118" s="4"/>
      <c r="N2118" s="2" t="s">
        <v>133</v>
      </c>
      <c r="O2118" s="2"/>
      <c r="P2118" s="4">
        <v>1</v>
      </c>
      <c r="Q2118" s="2" t="s">
        <v>2111</v>
      </c>
      <c r="R2118" s="11">
        <f>SUBTOTAL(3,_xlfn.SINGLE(tbl_file[RowId]))</f>
        <v>1</v>
      </c>
    </row>
    <row r="2119" spans="10:18">
      <c r="J2119" s="4">
        <v>62</v>
      </c>
      <c r="K2119" s="21" t="str">
        <f>HYPERLINK("obsidian://open?vault=o2&amp;file=Setup%20MariaDB%20and%20Wordpress.md","Setup MariaDB and Wordpress")</f>
        <v>Setup MariaDB and Wordpress</v>
      </c>
      <c r="L2119" s="20" t="s">
        <v>175</v>
      </c>
      <c r="M2119" s="4"/>
      <c r="N2119" s="2" t="s">
        <v>50</v>
      </c>
      <c r="O2119" s="2"/>
      <c r="P2119" s="4">
        <v>1</v>
      </c>
      <c r="Q2119" s="2" t="s">
        <v>1474</v>
      </c>
      <c r="R2119" s="11">
        <f>SUBTOTAL(3,_xlfn.SINGLE(tbl_file[RowId]))</f>
        <v>1</v>
      </c>
    </row>
    <row r="2120" spans="10:18">
      <c r="J2120" s="4">
        <v>63</v>
      </c>
      <c r="K2120" s="21" t="str">
        <f>HYPERLINK("obsidian://open?vault=o2&amp;file=Setup%20MariaDB%20and%20Wordpress.md","Setup MariaDB and Wordpress")</f>
        <v>Setup MariaDB and Wordpress</v>
      </c>
      <c r="L2120" s="20" t="s">
        <v>175</v>
      </c>
      <c r="M2120" s="4"/>
      <c r="N2120" s="2" t="s">
        <v>127</v>
      </c>
      <c r="O2120" s="2"/>
      <c r="P2120" s="4">
        <v>1</v>
      </c>
      <c r="Q2120" s="2" t="s">
        <v>1960</v>
      </c>
      <c r="R2120" s="11">
        <f>SUBTOTAL(3,_xlfn.SINGLE(tbl_file[RowId]))</f>
        <v>1</v>
      </c>
    </row>
    <row r="2121" spans="10:18">
      <c r="J2121" s="4">
        <v>64</v>
      </c>
      <c r="K2121" s="21" t="str">
        <f>HYPERLINK("obsidian://open?vault=o2&amp;file=Setup%20MariaDB%20and%20Wordpress.md","Setup MariaDB and Wordpress")</f>
        <v>Setup MariaDB and Wordpress</v>
      </c>
      <c r="L2121" s="20" t="s">
        <v>175</v>
      </c>
      <c r="M2121" s="4"/>
      <c r="N2121" s="2" t="s">
        <v>2606</v>
      </c>
      <c r="O2121" s="2"/>
      <c r="P2121" s="4">
        <v>2</v>
      </c>
      <c r="Q2121" s="2" t="s">
        <v>2620</v>
      </c>
      <c r="R2121" s="11">
        <f>SUBTOTAL(3,_xlfn.SINGLE(tbl_file[RowId]))</f>
        <v>1</v>
      </c>
    </row>
    <row r="2122" spans="10:18">
      <c r="J2122" s="4">
        <v>65</v>
      </c>
      <c r="K2122" s="21" t="str">
        <f>HYPERLINK("obsidian://open?vault=o2&amp;file=Setup%20MariaDB%20and%20Wordpress.md","Setup MariaDB and Wordpress")</f>
        <v>Setup MariaDB and Wordpress</v>
      </c>
      <c r="L2122" s="20" t="s">
        <v>175</v>
      </c>
      <c r="M2122" s="4"/>
      <c r="N2122" s="2" t="s">
        <v>133</v>
      </c>
      <c r="O2122" s="2"/>
      <c r="P2122" s="4">
        <v>1</v>
      </c>
      <c r="Q2122" s="2" t="s">
        <v>2111</v>
      </c>
      <c r="R2122" s="11">
        <f>SUBTOTAL(3,_xlfn.SINGLE(tbl_file[RowId]))</f>
        <v>1</v>
      </c>
    </row>
    <row r="2123" spans="10:18">
      <c r="J2123" s="4">
        <v>2266</v>
      </c>
      <c r="K2123" s="21" t="str">
        <f>HYPERLINK("obsidian://open?vault=o2&amp;file=Setup%20Multi%20Row%20Tabs%20in%20Firefox.md","Setup Multi Row Tabs in Firefox")</f>
        <v>Setup Multi Row Tabs in Firefox</v>
      </c>
      <c r="L2123" s="20" t="s">
        <v>175</v>
      </c>
      <c r="M2123" s="4"/>
      <c r="N2123" s="2" t="s">
        <v>11</v>
      </c>
      <c r="O2123" s="2"/>
      <c r="P2123" s="4">
        <v>1</v>
      </c>
      <c r="Q2123" s="2" t="s">
        <v>194</v>
      </c>
      <c r="R2123" s="11">
        <f>SUBTOTAL(3,_xlfn.SINGLE(tbl_file[RowId]))</f>
        <v>1</v>
      </c>
    </row>
    <row r="2124" spans="10:18">
      <c r="J2124" s="4">
        <v>2267</v>
      </c>
      <c r="K2124" s="21" t="str">
        <f>HYPERLINK("obsidian://open?vault=o2&amp;file=Setup%20Multi%20Row%20Tabs%20in%20Firefox.md","Setup Multi Row Tabs in Firefox")</f>
        <v>Setup Multi Row Tabs in Firefox</v>
      </c>
      <c r="L2124" s="20" t="s">
        <v>175</v>
      </c>
      <c r="M2124" s="4"/>
      <c r="N2124" s="2" t="s">
        <v>50</v>
      </c>
      <c r="O2124" s="2"/>
      <c r="P2124" s="4">
        <v>1</v>
      </c>
      <c r="Q2124" s="2" t="s">
        <v>1560</v>
      </c>
      <c r="R2124" s="11">
        <f>SUBTOTAL(3,_xlfn.SINGLE(tbl_file[RowId]))</f>
        <v>1</v>
      </c>
    </row>
    <row r="2125" spans="10:18">
      <c r="J2125" s="4">
        <v>2268</v>
      </c>
      <c r="K2125" s="21" t="str">
        <f>HYPERLINK("obsidian://open?vault=o2&amp;file=Setup%20Multi%20Row%20Tabs%20in%20Firefox.md","Setup Multi Row Tabs in Firefox")</f>
        <v>Setup Multi Row Tabs in Firefox</v>
      </c>
      <c r="L2125" s="20" t="s">
        <v>175</v>
      </c>
      <c r="M2125" s="4"/>
      <c r="N2125" s="2" t="s">
        <v>127</v>
      </c>
      <c r="O2125" s="2"/>
      <c r="P2125" s="4">
        <v>1</v>
      </c>
      <c r="Q2125" s="2" t="s">
        <v>1960</v>
      </c>
      <c r="R2125" s="11">
        <f>SUBTOTAL(3,_xlfn.SINGLE(tbl_file[RowId]))</f>
        <v>1</v>
      </c>
    </row>
    <row r="2126" spans="10:18">
      <c r="J2126" s="4">
        <v>2269</v>
      </c>
      <c r="K2126" s="21" t="str">
        <f>HYPERLINK("obsidian://open?vault=o2&amp;file=Setup%20Multi%20Row%20Tabs%20in%20Firefox.md","Setup Multi Row Tabs in Firefox")</f>
        <v>Setup Multi Row Tabs in Firefox</v>
      </c>
      <c r="L2126" s="20" t="s">
        <v>175</v>
      </c>
      <c r="M2126" s="4"/>
      <c r="N2126" s="2" t="s">
        <v>2606</v>
      </c>
      <c r="O2126" s="2"/>
      <c r="P2126" s="4">
        <v>2</v>
      </c>
      <c r="Q2126" s="2" t="s">
        <v>3145</v>
      </c>
      <c r="R2126" s="11">
        <f>SUBTOTAL(3,_xlfn.SINGLE(tbl_file[RowId]))</f>
        <v>1</v>
      </c>
    </row>
    <row r="2127" spans="10:18">
      <c r="J2127" s="4">
        <v>66</v>
      </c>
      <c r="K2127" s="21" t="str">
        <f>HYPERLINK("obsidian://open?vault=o2&amp;file=Setup%20My%20Own%20%20Modem.md","Setup My Own  Modem")</f>
        <v>Setup My Own  Modem</v>
      </c>
      <c r="L2127" s="20" t="s">
        <v>175</v>
      </c>
      <c r="M2127" s="4"/>
      <c r="N2127" s="2" t="s">
        <v>50</v>
      </c>
      <c r="O2127" s="2"/>
      <c r="P2127" s="4">
        <v>1</v>
      </c>
      <c r="Q2127" s="2" t="s">
        <v>1474</v>
      </c>
      <c r="R2127" s="11">
        <f>SUBTOTAL(3,_xlfn.SINGLE(tbl_file[RowId]))</f>
        <v>1</v>
      </c>
    </row>
    <row r="2128" spans="10:18">
      <c r="J2128" s="4">
        <v>67</v>
      </c>
      <c r="K2128" s="21" t="str">
        <f>HYPERLINK("obsidian://open?vault=o2&amp;file=Setup%20My%20Own%20%20Modem.md","Setup My Own  Modem")</f>
        <v>Setup My Own  Modem</v>
      </c>
      <c r="L2128" s="20" t="s">
        <v>175</v>
      </c>
      <c r="M2128" s="4"/>
      <c r="N2128" s="2" t="s">
        <v>127</v>
      </c>
      <c r="O2128" s="2"/>
      <c r="P2128" s="4">
        <v>1</v>
      </c>
      <c r="Q2128" s="2" t="s">
        <v>1960</v>
      </c>
      <c r="R2128" s="11">
        <f>SUBTOTAL(3,_xlfn.SINGLE(tbl_file[RowId]))</f>
        <v>1</v>
      </c>
    </row>
    <row r="2129" spans="10:18">
      <c r="J2129" s="4">
        <v>68</v>
      </c>
      <c r="K2129" s="21" t="str">
        <f>HYPERLINK("obsidian://open?vault=o2&amp;file=Setup%20My%20Own%20%20Modem.md","Setup My Own  Modem")</f>
        <v>Setup My Own  Modem</v>
      </c>
      <c r="L2129" s="20" t="s">
        <v>175</v>
      </c>
      <c r="M2129" s="4"/>
      <c r="N2129" s="2" t="s">
        <v>2606</v>
      </c>
      <c r="O2129" s="2"/>
      <c r="P2129" s="4">
        <v>1</v>
      </c>
      <c r="Q2129" s="2" t="s">
        <v>2293</v>
      </c>
      <c r="R2129" s="11">
        <f>SUBTOTAL(3,_xlfn.SINGLE(tbl_file[RowId]))</f>
        <v>1</v>
      </c>
    </row>
    <row r="2130" spans="10:18">
      <c r="J2130" s="4">
        <v>69</v>
      </c>
      <c r="K2130" s="21" t="str">
        <f>HYPERLINK("obsidian://open?vault=o2&amp;file=Setup%20My%20Own%20%20Modem.md","Setup My Own  Modem")</f>
        <v>Setup My Own  Modem</v>
      </c>
      <c r="L2130" s="20" t="s">
        <v>175</v>
      </c>
      <c r="M2130" s="4"/>
      <c r="N2130" s="2" t="s">
        <v>133</v>
      </c>
      <c r="O2130" s="2"/>
      <c r="P2130" s="4">
        <v>1</v>
      </c>
      <c r="Q2130" s="2" t="s">
        <v>2111</v>
      </c>
      <c r="R2130" s="11">
        <f>SUBTOTAL(3,_xlfn.SINGLE(tbl_file[RowId]))</f>
        <v>1</v>
      </c>
    </row>
    <row r="2131" spans="10:18">
      <c r="J2131" s="4">
        <v>2270</v>
      </c>
      <c r="K2131" s="21" t="str">
        <f t="shared" ref="K2131:K2136" si="79">HYPERLINK("obsidian://open?vault=o2&amp;file=Setup%20Nginx%20Proxy%20Manager.md","Setup Nginx Proxy Manager")</f>
        <v>Setup Nginx Proxy Manager</v>
      </c>
      <c r="L2131" s="20" t="s">
        <v>175</v>
      </c>
      <c r="M2131" s="4"/>
      <c r="N2131" s="2" t="s">
        <v>11</v>
      </c>
      <c r="O2131" s="2"/>
      <c r="P2131" s="4">
        <v>1</v>
      </c>
      <c r="Q2131" s="2" t="s">
        <v>228</v>
      </c>
      <c r="R2131" s="11">
        <f>SUBTOTAL(3,_xlfn.SINGLE(tbl_file[RowId]))</f>
        <v>1</v>
      </c>
    </row>
    <row r="2132" spans="10:18">
      <c r="J2132" s="4">
        <v>2271</v>
      </c>
      <c r="K2132" s="21" t="str">
        <f t="shared" si="79"/>
        <v>Setup Nginx Proxy Manager</v>
      </c>
      <c r="L2132" s="20" t="s">
        <v>175</v>
      </c>
      <c r="M2132" s="4"/>
      <c r="N2132" s="2" t="s">
        <v>50</v>
      </c>
      <c r="O2132" s="2"/>
      <c r="P2132" s="4">
        <v>1</v>
      </c>
      <c r="Q2132" s="2" t="s">
        <v>1474</v>
      </c>
      <c r="R2132" s="11">
        <f>SUBTOTAL(3,_xlfn.SINGLE(tbl_file[RowId]))</f>
        <v>1</v>
      </c>
    </row>
    <row r="2133" spans="10:18">
      <c r="J2133" s="4">
        <v>2272</v>
      </c>
      <c r="K2133" s="21" t="str">
        <f t="shared" si="79"/>
        <v>Setup Nginx Proxy Manager</v>
      </c>
      <c r="L2133" s="20" t="s">
        <v>175</v>
      </c>
      <c r="M2133" s="4"/>
      <c r="N2133" s="2" t="s">
        <v>127</v>
      </c>
      <c r="O2133" s="2"/>
      <c r="P2133" s="4">
        <v>1</v>
      </c>
      <c r="Q2133" s="2" t="s">
        <v>1960</v>
      </c>
      <c r="R2133" s="11">
        <f>SUBTOTAL(3,_xlfn.SINGLE(tbl_file[RowId]))</f>
        <v>1</v>
      </c>
    </row>
    <row r="2134" spans="10:18">
      <c r="J2134" s="4">
        <v>2273</v>
      </c>
      <c r="K2134" s="21" t="str">
        <f t="shared" si="79"/>
        <v>Setup Nginx Proxy Manager</v>
      </c>
      <c r="L2134" s="20" t="s">
        <v>175</v>
      </c>
      <c r="M2134" s="4"/>
      <c r="N2134" s="2" t="s">
        <v>2606</v>
      </c>
      <c r="O2134" s="2"/>
      <c r="P2134" s="4">
        <v>3</v>
      </c>
      <c r="Q2134" s="2" t="s">
        <v>3146</v>
      </c>
      <c r="R2134" s="11">
        <f>SUBTOTAL(3,_xlfn.SINGLE(tbl_file[RowId]))</f>
        <v>1</v>
      </c>
    </row>
    <row r="2135" spans="10:18">
      <c r="J2135" s="4">
        <v>2274</v>
      </c>
      <c r="K2135" s="21" t="str">
        <f t="shared" si="79"/>
        <v>Setup Nginx Proxy Manager</v>
      </c>
      <c r="L2135" s="20" t="s">
        <v>175</v>
      </c>
      <c r="M2135" s="4"/>
      <c r="N2135" s="2" t="s">
        <v>133</v>
      </c>
      <c r="O2135" s="2"/>
      <c r="P2135" s="4">
        <v>1</v>
      </c>
      <c r="Q2135" s="2" t="s">
        <v>2111</v>
      </c>
      <c r="R2135" s="11">
        <f>SUBTOTAL(3,_xlfn.SINGLE(tbl_file[RowId]))</f>
        <v>1</v>
      </c>
    </row>
    <row r="2136" spans="10:18">
      <c r="J2136" s="4">
        <v>2275</v>
      </c>
      <c r="K2136" s="21" t="str">
        <f t="shared" si="79"/>
        <v>Setup Nginx Proxy Manager</v>
      </c>
      <c r="L2136" s="20" t="s">
        <v>175</v>
      </c>
      <c r="M2136" s="4" t="s">
        <v>2626</v>
      </c>
      <c r="N2136" s="2" t="s">
        <v>2606</v>
      </c>
      <c r="O2136" s="2"/>
      <c r="P2136" s="4">
        <v>1</v>
      </c>
      <c r="Q2136" s="2" t="s">
        <v>2465</v>
      </c>
      <c r="R2136" s="11">
        <f>SUBTOTAL(3,_xlfn.SINGLE(tbl_file[RowId]))</f>
        <v>1</v>
      </c>
    </row>
    <row r="2137" spans="10:18">
      <c r="J2137" s="4">
        <v>2276</v>
      </c>
      <c r="K2137" s="21" t="str">
        <f>HYPERLINK("obsidian://open?vault=o2&amp;file=Setup%20Prowlarr.md","Setup Prowlarr")</f>
        <v>Setup Prowlarr</v>
      </c>
      <c r="L2137" s="20" t="s">
        <v>175</v>
      </c>
      <c r="M2137" s="4"/>
      <c r="N2137" s="2" t="s">
        <v>127</v>
      </c>
      <c r="O2137" s="2"/>
      <c r="P2137" s="4">
        <v>1</v>
      </c>
      <c r="Q2137" s="2" t="s">
        <v>1960</v>
      </c>
      <c r="R2137" s="11">
        <f>SUBTOTAL(3,_xlfn.SINGLE(tbl_file[RowId]))</f>
        <v>1</v>
      </c>
    </row>
    <row r="2138" spans="10:18">
      <c r="J2138" s="4">
        <v>2277</v>
      </c>
      <c r="K2138" s="21" t="str">
        <f>HYPERLINK("obsidian://open?vault=o2&amp;file=Setup%20Prowlarr.md","Setup Prowlarr")</f>
        <v>Setup Prowlarr</v>
      </c>
      <c r="L2138" s="20" t="s">
        <v>175</v>
      </c>
      <c r="M2138" s="4"/>
      <c r="N2138" s="2" t="s">
        <v>133</v>
      </c>
      <c r="O2138" s="2"/>
      <c r="P2138" s="4">
        <v>1</v>
      </c>
      <c r="Q2138" s="2" t="s">
        <v>2111</v>
      </c>
      <c r="R2138" s="11">
        <f>SUBTOTAL(3,_xlfn.SINGLE(tbl_file[RowId]))</f>
        <v>1</v>
      </c>
    </row>
    <row r="2139" spans="10:18">
      <c r="J2139" s="4">
        <v>2278</v>
      </c>
      <c r="K2139" s="21" t="str">
        <f>HYPERLINK("obsidian://open?vault=o2&amp;file=Setup%20Radarr.md","Setup Radarr")</f>
        <v>Setup Radarr</v>
      </c>
      <c r="L2139" s="20" t="s">
        <v>175</v>
      </c>
      <c r="M2139" s="4"/>
      <c r="N2139" s="2" t="s">
        <v>50</v>
      </c>
      <c r="O2139" s="2"/>
      <c r="P2139" s="4">
        <v>1</v>
      </c>
      <c r="Q2139" s="2" t="s">
        <v>1472</v>
      </c>
      <c r="R2139" s="11">
        <f>SUBTOTAL(3,_xlfn.SINGLE(tbl_file[RowId]))</f>
        <v>1</v>
      </c>
    </row>
    <row r="2140" spans="10:18">
      <c r="J2140" s="4">
        <v>2279</v>
      </c>
      <c r="K2140" s="21" t="str">
        <f>HYPERLINK("obsidian://open?vault=o2&amp;file=Setup%20Radarr.md","Setup Radarr")</f>
        <v>Setup Radarr</v>
      </c>
      <c r="L2140" s="20" t="s">
        <v>175</v>
      </c>
      <c r="M2140" s="4"/>
      <c r="N2140" s="2" t="s">
        <v>127</v>
      </c>
      <c r="O2140" s="2"/>
      <c r="P2140" s="4">
        <v>1</v>
      </c>
      <c r="Q2140" s="2" t="s">
        <v>1960</v>
      </c>
      <c r="R2140" s="11">
        <f>SUBTOTAL(3,_xlfn.SINGLE(tbl_file[RowId]))</f>
        <v>1</v>
      </c>
    </row>
    <row r="2141" spans="10:18">
      <c r="J2141" s="4">
        <v>2280</v>
      </c>
      <c r="K2141" s="21" t="str">
        <f>HYPERLINK("obsidian://open?vault=o2&amp;file=Setup%20Radarr.md","Setup Radarr")</f>
        <v>Setup Radarr</v>
      </c>
      <c r="L2141" s="20" t="s">
        <v>175</v>
      </c>
      <c r="M2141" s="4"/>
      <c r="N2141" s="2" t="s">
        <v>2606</v>
      </c>
      <c r="O2141" s="2"/>
      <c r="P2141" s="4">
        <v>2</v>
      </c>
      <c r="Q2141" s="2" t="s">
        <v>3147</v>
      </c>
      <c r="R2141" s="11">
        <f>SUBTOTAL(3,_xlfn.SINGLE(tbl_file[RowId]))</f>
        <v>1</v>
      </c>
    </row>
    <row r="2142" spans="10:18">
      <c r="J2142" s="4">
        <v>2281</v>
      </c>
      <c r="K2142" s="21" t="str">
        <f>HYPERLINK("obsidian://open?vault=o2&amp;file=Setup%20Radarr.md","Setup Radarr")</f>
        <v>Setup Radarr</v>
      </c>
      <c r="L2142" s="20" t="s">
        <v>175</v>
      </c>
      <c r="M2142" s="4"/>
      <c r="N2142" s="2" t="s">
        <v>133</v>
      </c>
      <c r="O2142" s="2"/>
      <c r="P2142" s="4">
        <v>1</v>
      </c>
      <c r="Q2142" s="2" t="s">
        <v>2111</v>
      </c>
      <c r="R2142" s="11">
        <f>SUBTOTAL(3,_xlfn.SINGLE(tbl_file[RowId]))</f>
        <v>1</v>
      </c>
    </row>
    <row r="2143" spans="10:18">
      <c r="J2143" s="4">
        <v>2282</v>
      </c>
      <c r="K2143" s="21" t="str">
        <f>HYPERLINK("obsidian://open?vault=o2&amp;file=Setup%20Radarr.md","Setup Radarr")</f>
        <v>Setup Radarr</v>
      </c>
      <c r="L2143" s="20" t="s">
        <v>175</v>
      </c>
      <c r="M2143" s="4" t="s">
        <v>2626</v>
      </c>
      <c r="N2143" s="2" t="s">
        <v>2606</v>
      </c>
      <c r="O2143" s="2"/>
      <c r="P2143" s="4">
        <v>1</v>
      </c>
      <c r="Q2143" s="2" t="s">
        <v>2327</v>
      </c>
      <c r="R2143" s="11">
        <f>SUBTOTAL(3,_xlfn.SINGLE(tbl_file[RowId]))</f>
        <v>1</v>
      </c>
    </row>
    <row r="2144" spans="10:18">
      <c r="J2144" s="4">
        <v>70</v>
      </c>
      <c r="K2144" s="21" t="str">
        <f>HYPERLINK("obsidian://open?vault=o2&amp;file=Setup%20Sabnzbd.md","Setup Sabnzbd")</f>
        <v>Setup Sabnzbd</v>
      </c>
      <c r="L2144" s="20" t="s">
        <v>175</v>
      </c>
      <c r="M2144" s="4"/>
      <c r="N2144" s="2" t="s">
        <v>12</v>
      </c>
      <c r="O2144" s="2"/>
      <c r="P2144" s="4">
        <v>1</v>
      </c>
      <c r="Q2144" s="2" t="s">
        <v>272</v>
      </c>
      <c r="R2144" s="11">
        <f>SUBTOTAL(3,_xlfn.SINGLE(tbl_file[RowId]))</f>
        <v>1</v>
      </c>
    </row>
    <row r="2145" spans="10:18">
      <c r="J2145" s="4">
        <v>71</v>
      </c>
      <c r="K2145" s="21" t="str">
        <f>HYPERLINK("obsidian://open?vault=o2&amp;file=Setup%20Sabnzbd.md","Setup Sabnzbd")</f>
        <v>Setup Sabnzbd</v>
      </c>
      <c r="L2145" s="20" t="s">
        <v>175</v>
      </c>
      <c r="M2145" s="4"/>
      <c r="N2145" s="2" t="s">
        <v>50</v>
      </c>
      <c r="O2145" s="2"/>
      <c r="P2145" s="4">
        <v>1</v>
      </c>
      <c r="Q2145" s="2" t="s">
        <v>1472</v>
      </c>
      <c r="R2145" s="11">
        <f>SUBTOTAL(3,_xlfn.SINGLE(tbl_file[RowId]))</f>
        <v>1</v>
      </c>
    </row>
    <row r="2146" spans="10:18">
      <c r="J2146" s="4">
        <v>72</v>
      </c>
      <c r="K2146" s="21" t="str">
        <f>HYPERLINK("obsidian://open?vault=o2&amp;file=Setup%20Sabnzbd.md","Setup Sabnzbd")</f>
        <v>Setup Sabnzbd</v>
      </c>
      <c r="L2146" s="20" t="s">
        <v>175</v>
      </c>
      <c r="M2146" s="4"/>
      <c r="N2146" s="2" t="s">
        <v>127</v>
      </c>
      <c r="O2146" s="2"/>
      <c r="P2146" s="4">
        <v>1</v>
      </c>
      <c r="Q2146" s="2" t="s">
        <v>1960</v>
      </c>
      <c r="R2146" s="11">
        <f>SUBTOTAL(3,_xlfn.SINGLE(tbl_file[RowId]))</f>
        <v>1</v>
      </c>
    </row>
    <row r="2147" spans="10:18">
      <c r="J2147" s="4">
        <v>73</v>
      </c>
      <c r="K2147" s="21" t="str">
        <f>HYPERLINK("obsidian://open?vault=o2&amp;file=Setup%20Sabnzbd.md","Setup Sabnzbd")</f>
        <v>Setup Sabnzbd</v>
      </c>
      <c r="L2147" s="20" t="s">
        <v>175</v>
      </c>
      <c r="M2147" s="4"/>
      <c r="N2147" s="2" t="s">
        <v>2606</v>
      </c>
      <c r="O2147" s="2"/>
      <c r="P2147" s="4">
        <v>9</v>
      </c>
      <c r="Q2147" s="2" t="s">
        <v>2621</v>
      </c>
      <c r="R2147" s="11">
        <f>SUBTOTAL(3,_xlfn.SINGLE(tbl_file[RowId]))</f>
        <v>1</v>
      </c>
    </row>
    <row r="2148" spans="10:18">
      <c r="J2148" s="4">
        <v>74</v>
      </c>
      <c r="K2148" s="21" t="str">
        <f>HYPERLINK("obsidian://open?vault=o2&amp;file=Setup%20Sabnzbd.md","Setup Sabnzbd")</f>
        <v>Setup Sabnzbd</v>
      </c>
      <c r="L2148" s="20" t="s">
        <v>175</v>
      </c>
      <c r="M2148" s="4"/>
      <c r="N2148" s="2" t="s">
        <v>133</v>
      </c>
      <c r="O2148" s="2"/>
      <c r="P2148" s="4">
        <v>1</v>
      </c>
      <c r="Q2148" s="2" t="s">
        <v>2622</v>
      </c>
      <c r="R2148" s="11">
        <f>SUBTOTAL(3,_xlfn.SINGLE(tbl_file[RowId]))</f>
        <v>1</v>
      </c>
    </row>
    <row r="2149" spans="10:18">
      <c r="J2149" s="4">
        <v>2287</v>
      </c>
      <c r="K2149" s="21" t="str">
        <f t="shared" ref="K2149:K2154" si="80">HYPERLINK("obsidian://open?vault=o2&amp;file=Setup%20Servarr.md","Setup Servarr")</f>
        <v>Setup Servarr</v>
      </c>
      <c r="L2149" s="20" t="s">
        <v>175</v>
      </c>
      <c r="M2149" s="4"/>
      <c r="N2149" s="2" t="s">
        <v>12</v>
      </c>
      <c r="O2149" s="2"/>
      <c r="P2149" s="4">
        <v>1</v>
      </c>
      <c r="Q2149" s="2" t="s">
        <v>272</v>
      </c>
      <c r="R2149" s="11">
        <f>SUBTOTAL(3,_xlfn.SINGLE(tbl_file[RowId]))</f>
        <v>1</v>
      </c>
    </row>
    <row r="2150" spans="10:18">
      <c r="J2150" s="4">
        <v>2288</v>
      </c>
      <c r="K2150" s="21" t="str">
        <f t="shared" si="80"/>
        <v>Setup Servarr</v>
      </c>
      <c r="L2150" s="20" t="s">
        <v>175</v>
      </c>
      <c r="M2150" s="4"/>
      <c r="N2150" s="2" t="s">
        <v>50</v>
      </c>
      <c r="O2150" s="2"/>
      <c r="P2150" s="4">
        <v>1</v>
      </c>
      <c r="Q2150" s="2" t="s">
        <v>1472</v>
      </c>
      <c r="R2150" s="11">
        <f>SUBTOTAL(3,_xlfn.SINGLE(tbl_file[RowId]))</f>
        <v>1</v>
      </c>
    </row>
    <row r="2151" spans="10:18">
      <c r="J2151" s="4">
        <v>2289</v>
      </c>
      <c r="K2151" s="21" t="str">
        <f t="shared" si="80"/>
        <v>Setup Servarr</v>
      </c>
      <c r="L2151" s="20" t="s">
        <v>175</v>
      </c>
      <c r="M2151" s="4"/>
      <c r="N2151" s="2" t="s">
        <v>127</v>
      </c>
      <c r="O2151" s="2"/>
      <c r="P2151" s="4">
        <v>1</v>
      </c>
      <c r="Q2151" s="2" t="s">
        <v>1960</v>
      </c>
      <c r="R2151" s="11">
        <f>SUBTOTAL(3,_xlfn.SINGLE(tbl_file[RowId]))</f>
        <v>1</v>
      </c>
    </row>
    <row r="2152" spans="10:18">
      <c r="J2152" s="4">
        <v>2290</v>
      </c>
      <c r="K2152" s="21" t="str">
        <f t="shared" si="80"/>
        <v>Setup Servarr</v>
      </c>
      <c r="L2152" s="20" t="s">
        <v>175</v>
      </c>
      <c r="M2152" s="4"/>
      <c r="N2152" s="2" t="s">
        <v>2606</v>
      </c>
      <c r="O2152" s="2"/>
      <c r="P2152" s="4">
        <v>9</v>
      </c>
      <c r="Q2152" s="2" t="s">
        <v>2621</v>
      </c>
      <c r="R2152" s="11">
        <f>SUBTOTAL(3,_xlfn.SINGLE(tbl_file[RowId]))</f>
        <v>1</v>
      </c>
    </row>
    <row r="2153" spans="10:18">
      <c r="J2153" s="4">
        <v>2291</v>
      </c>
      <c r="K2153" s="21" t="str">
        <f t="shared" si="80"/>
        <v>Setup Servarr</v>
      </c>
      <c r="L2153" s="20" t="s">
        <v>175</v>
      </c>
      <c r="M2153" s="4"/>
      <c r="N2153" s="2" t="s">
        <v>133</v>
      </c>
      <c r="O2153" s="2"/>
      <c r="P2153" s="4">
        <v>1</v>
      </c>
      <c r="Q2153" s="2" t="s">
        <v>2111</v>
      </c>
      <c r="R2153" s="11">
        <f>SUBTOTAL(3,_xlfn.SINGLE(tbl_file[RowId]))</f>
        <v>1</v>
      </c>
    </row>
    <row r="2154" spans="10:18">
      <c r="J2154" s="4">
        <v>2292</v>
      </c>
      <c r="K2154" s="21" t="str">
        <f t="shared" si="80"/>
        <v>Setup Servarr</v>
      </c>
      <c r="L2154" s="20" t="s">
        <v>175</v>
      </c>
      <c r="M2154" s="4" t="s">
        <v>2626</v>
      </c>
      <c r="N2154" s="2" t="s">
        <v>2606</v>
      </c>
      <c r="O2154" s="2"/>
      <c r="P2154" s="4">
        <v>22</v>
      </c>
      <c r="Q2154" s="2" t="s">
        <v>3148</v>
      </c>
      <c r="R2154" s="11">
        <f>SUBTOTAL(3,_xlfn.SINGLE(tbl_file[RowId]))</f>
        <v>1</v>
      </c>
    </row>
    <row r="2155" spans="10:18">
      <c r="J2155" s="4">
        <v>476</v>
      </c>
      <c r="K2155" s="21" t="str">
        <f>HYPERLINK("obsidian://open?vault=o2&amp;file=Setup%20Software%20Maintenece%20Template.md","Setup Software Maintenece Template")</f>
        <v>Setup Software Maintenece Template</v>
      </c>
      <c r="L2155" s="20" t="s">
        <v>175</v>
      </c>
      <c r="M2155" s="4"/>
      <c r="N2155" s="2" t="s">
        <v>133</v>
      </c>
      <c r="O2155" s="2"/>
      <c r="P2155" s="4">
        <v>1</v>
      </c>
      <c r="Q2155" s="2" t="s">
        <v>2622</v>
      </c>
      <c r="R2155" s="11">
        <f>SUBTOTAL(3,_xlfn.SINGLE(tbl_file[RowId]))</f>
        <v>1</v>
      </c>
    </row>
    <row r="2156" spans="10:18">
      <c r="J2156" s="4">
        <v>2283</v>
      </c>
      <c r="K2156" s="21" t="str">
        <f>HYPERLINK("obsidian://open?vault=o2&amp;file=Setup%20SSH%20to%20work%20in%20Powershell.md","Setup SSH to work in Powershell")</f>
        <v>Setup SSH to work in Powershell</v>
      </c>
      <c r="L2156" s="20" t="s">
        <v>175</v>
      </c>
      <c r="M2156" s="4"/>
      <c r="N2156" s="2" t="s">
        <v>50</v>
      </c>
      <c r="O2156" s="2"/>
      <c r="P2156" s="4">
        <v>2</v>
      </c>
      <c r="Q2156" s="2" t="s">
        <v>3143</v>
      </c>
      <c r="R2156" s="11">
        <f>SUBTOTAL(3,_xlfn.SINGLE(tbl_file[RowId]))</f>
        <v>1</v>
      </c>
    </row>
    <row r="2157" spans="10:18">
      <c r="J2157" s="4">
        <v>2284</v>
      </c>
      <c r="K2157" s="21" t="str">
        <f>HYPERLINK("obsidian://open?vault=o2&amp;file=Setup%20SSH%20to%20work%20in%20Powershell.md","Setup SSH to work in Powershell")</f>
        <v>Setup SSH to work in Powershell</v>
      </c>
      <c r="L2157" s="20" t="s">
        <v>175</v>
      </c>
      <c r="M2157" s="4"/>
      <c r="N2157" s="2" t="s">
        <v>127</v>
      </c>
      <c r="O2157" s="2"/>
      <c r="P2157" s="4">
        <v>1</v>
      </c>
      <c r="Q2157" s="2" t="s">
        <v>1956</v>
      </c>
      <c r="R2157" s="11">
        <f>SUBTOTAL(3,_xlfn.SINGLE(tbl_file[RowId]))</f>
        <v>1</v>
      </c>
    </row>
    <row r="2158" spans="10:18">
      <c r="J2158" s="4">
        <v>2285</v>
      </c>
      <c r="K2158" s="21" t="str">
        <f>HYPERLINK("obsidian://open?vault=o2&amp;file=Setup%20SSH%20to%20work%20in%20Powershell.md","Setup SSH to work in Powershell")</f>
        <v>Setup SSH to work in Powershell</v>
      </c>
      <c r="L2158" s="20" t="s">
        <v>175</v>
      </c>
      <c r="M2158" s="4"/>
      <c r="N2158" s="2" t="s">
        <v>2606</v>
      </c>
      <c r="O2158" s="2"/>
      <c r="P2158" s="4">
        <v>1</v>
      </c>
      <c r="Q2158" s="2" t="s">
        <v>2293</v>
      </c>
      <c r="R2158" s="11">
        <f>SUBTOTAL(3,_xlfn.SINGLE(tbl_file[RowId]))</f>
        <v>1</v>
      </c>
    </row>
    <row r="2159" spans="10:18">
      <c r="J2159" s="4">
        <v>2286</v>
      </c>
      <c r="K2159" s="21" t="str">
        <f>HYPERLINK("obsidian://open?vault=o2&amp;file=Setup%20SSH%20to%20work%20in%20Powershell.md","Setup SSH to work in Powershell")</f>
        <v>Setup SSH to work in Powershell</v>
      </c>
      <c r="L2159" s="20" t="s">
        <v>175</v>
      </c>
      <c r="M2159" s="4"/>
      <c r="N2159" s="14" t="s">
        <v>134</v>
      </c>
      <c r="O2159" s="2"/>
      <c r="P2159" s="4">
        <v>1</v>
      </c>
      <c r="Q2159" s="2" t="s">
        <v>2107</v>
      </c>
      <c r="R2159" s="11">
        <f>SUBTOTAL(3,_xlfn.SINGLE(tbl_file[RowId]))</f>
        <v>1</v>
      </c>
    </row>
    <row r="2160" spans="10:18">
      <c r="J2160" s="4">
        <v>312</v>
      </c>
      <c r="K2160" s="21" t="str">
        <f>HYPERLINK("obsidian://open?vault=o2&amp;file=Setup%20Streamdeck%20Plus.md","Setup Streamdeck Plus")</f>
        <v>Setup Streamdeck Plus</v>
      </c>
      <c r="L2160" s="20" t="s">
        <v>175</v>
      </c>
      <c r="M2160" s="4"/>
      <c r="N2160" s="2" t="s">
        <v>12</v>
      </c>
      <c r="O2160" s="2"/>
      <c r="P2160" s="4">
        <v>1</v>
      </c>
      <c r="Q2160" s="2" t="s">
        <v>272</v>
      </c>
      <c r="R2160" s="11">
        <f>SUBTOTAL(3,_xlfn.SINGLE(tbl_file[RowId]))</f>
        <v>1</v>
      </c>
    </row>
    <row r="2161" spans="10:18">
      <c r="J2161" s="4">
        <v>313</v>
      </c>
      <c r="K2161" s="21" t="str">
        <f>HYPERLINK("obsidian://open?vault=o2&amp;file=Setup%20Streamdeck%20Plus.md","Setup Streamdeck Plus")</f>
        <v>Setup Streamdeck Plus</v>
      </c>
      <c r="L2161" s="20" t="s">
        <v>175</v>
      </c>
      <c r="M2161" s="4"/>
      <c r="N2161" s="2" t="s">
        <v>50</v>
      </c>
      <c r="O2161" s="2"/>
      <c r="P2161" s="4">
        <v>1</v>
      </c>
      <c r="Q2161" s="2" t="s">
        <v>1651</v>
      </c>
      <c r="R2161" s="11">
        <f>SUBTOTAL(3,_xlfn.SINGLE(tbl_file[RowId]))</f>
        <v>1</v>
      </c>
    </row>
    <row r="2162" spans="10:18">
      <c r="J2162" s="4">
        <v>314</v>
      </c>
      <c r="K2162" s="21" t="str">
        <f>HYPERLINK("obsidian://open?vault=o2&amp;file=Setup%20Streamdeck%20Plus.md","Setup Streamdeck Plus")</f>
        <v>Setup Streamdeck Plus</v>
      </c>
      <c r="L2162" s="20" t="s">
        <v>175</v>
      </c>
      <c r="M2162" s="4"/>
      <c r="N2162" s="2" t="s">
        <v>127</v>
      </c>
      <c r="O2162" s="2"/>
      <c r="P2162" s="4">
        <v>1</v>
      </c>
      <c r="Q2162" s="2" t="s">
        <v>1960</v>
      </c>
      <c r="R2162" s="11">
        <f>SUBTOTAL(3,_xlfn.SINGLE(tbl_file[RowId]))</f>
        <v>1</v>
      </c>
    </row>
    <row r="2163" spans="10:18">
      <c r="J2163" s="4">
        <v>315</v>
      </c>
      <c r="K2163" s="21" t="str">
        <f>HYPERLINK("obsidian://open?vault=o2&amp;file=Setup%20Streamdeck%20Plus.md","Setup Streamdeck Plus")</f>
        <v>Setup Streamdeck Plus</v>
      </c>
      <c r="L2163" s="20" t="s">
        <v>175</v>
      </c>
      <c r="M2163" s="4"/>
      <c r="N2163" s="2" t="s">
        <v>2606</v>
      </c>
      <c r="O2163" s="2"/>
      <c r="P2163" s="4">
        <v>1</v>
      </c>
      <c r="Q2163" s="2" t="s">
        <v>2375</v>
      </c>
      <c r="R2163" s="11">
        <f>SUBTOTAL(3,_xlfn.SINGLE(tbl_file[RowId]))</f>
        <v>1</v>
      </c>
    </row>
    <row r="2164" spans="10:18">
      <c r="J2164" s="4">
        <v>316</v>
      </c>
      <c r="K2164" s="21" t="str">
        <f>HYPERLINK("obsidian://open?vault=o2&amp;file=Setup%20Streamdeck%20Plus.md","Setup Streamdeck Plus")</f>
        <v>Setup Streamdeck Plus</v>
      </c>
      <c r="L2164" s="20" t="s">
        <v>175</v>
      </c>
      <c r="M2164" s="4"/>
      <c r="N2164" s="2" t="s">
        <v>133</v>
      </c>
      <c r="O2164" s="2"/>
      <c r="P2164" s="4">
        <v>1</v>
      </c>
      <c r="Q2164" s="2" t="s">
        <v>2111</v>
      </c>
      <c r="R2164" s="11">
        <f>SUBTOTAL(3,_xlfn.SINGLE(tbl_file[RowId]))</f>
        <v>1</v>
      </c>
    </row>
    <row r="2165" spans="10:18">
      <c r="J2165" s="4">
        <v>2308</v>
      </c>
      <c r="K2165" s="21" t="str">
        <f>HYPERLINK("obsidian://open?vault=o2&amp;file=Setup%20the%20Zimaboard%20to%20boot%20off%20the%20USB%20Stick.md","Setup the Zimaboard to boot off the USB Stick")</f>
        <v>Setup the Zimaboard to boot off the USB Stick</v>
      </c>
      <c r="L2165" s="20" t="s">
        <v>175</v>
      </c>
      <c r="M2165" s="4"/>
      <c r="N2165" s="2" t="s">
        <v>127</v>
      </c>
      <c r="O2165" s="2"/>
      <c r="P2165" s="4">
        <v>1</v>
      </c>
      <c r="Q2165" s="2" t="s">
        <v>1960</v>
      </c>
      <c r="R2165" s="11">
        <f>SUBTOTAL(3,_xlfn.SINGLE(tbl_file[RowId]))</f>
        <v>1</v>
      </c>
    </row>
    <row r="2166" spans="10:18">
      <c r="J2166" s="4">
        <v>2309</v>
      </c>
      <c r="K2166" s="21" t="str">
        <f>HYPERLINK("obsidian://open?vault=o2&amp;file=Setup%20the%20Zimaboard%20to%20boot%20off%20the%20USB%20Stick.md","Setup the Zimaboard to boot off the USB Stick")</f>
        <v>Setup the Zimaboard to boot off the USB Stick</v>
      </c>
      <c r="L2166" s="20" t="s">
        <v>175</v>
      </c>
      <c r="M2166" s="4"/>
      <c r="N2166" s="2" t="s">
        <v>2606</v>
      </c>
      <c r="O2166" s="2"/>
      <c r="P2166" s="4">
        <v>2</v>
      </c>
      <c r="Q2166" s="2" t="s">
        <v>3093</v>
      </c>
      <c r="R2166" s="11">
        <f>SUBTOTAL(3,_xlfn.SINGLE(tbl_file[RowId]))</f>
        <v>1</v>
      </c>
    </row>
    <row r="2167" spans="10:18">
      <c r="J2167" s="4">
        <v>2310</v>
      </c>
      <c r="K2167" s="21" t="str">
        <f>HYPERLINK("obsidian://open?vault=o2&amp;file=Setup%20the%20Zimaboard%20to%20boot%20off%20the%20USB%20Stick.md","Setup the Zimaboard to boot off the USB Stick")</f>
        <v>Setup the Zimaboard to boot off the USB Stick</v>
      </c>
      <c r="L2167" s="20" t="s">
        <v>175</v>
      </c>
      <c r="M2167" s="4"/>
      <c r="N2167" s="2" t="s">
        <v>133</v>
      </c>
      <c r="O2167" s="2"/>
      <c r="P2167" s="4">
        <v>1</v>
      </c>
      <c r="Q2167" s="2" t="s">
        <v>2107</v>
      </c>
      <c r="R2167" s="11">
        <f>SUBTOTAL(3,_xlfn.SINGLE(tbl_file[RowId]))</f>
        <v>1</v>
      </c>
    </row>
    <row r="2168" spans="10:18">
      <c r="J2168" s="4">
        <v>2293</v>
      </c>
      <c r="K2168" s="21" t="str">
        <f>HYPERLINK("obsidian://open?vault=o2&amp;file=Setup%20Wireguard.md","Setup Wireguard")</f>
        <v>Setup Wireguard</v>
      </c>
      <c r="L2168" s="20" t="s">
        <v>175</v>
      </c>
      <c r="M2168" s="4"/>
      <c r="N2168" s="2" t="s">
        <v>50</v>
      </c>
      <c r="O2168" s="2"/>
      <c r="P2168" s="4">
        <v>2</v>
      </c>
      <c r="Q2168" s="2" t="s">
        <v>2618</v>
      </c>
      <c r="R2168" s="11">
        <f>SUBTOTAL(3,_xlfn.SINGLE(tbl_file[RowId]))</f>
        <v>1</v>
      </c>
    </row>
    <row r="2169" spans="10:18">
      <c r="J2169" s="4">
        <v>2294</v>
      </c>
      <c r="K2169" s="21" t="str">
        <f>HYPERLINK("obsidian://open?vault=o2&amp;file=Setup%20Wireguard.md","Setup Wireguard")</f>
        <v>Setup Wireguard</v>
      </c>
      <c r="L2169" s="20" t="s">
        <v>175</v>
      </c>
      <c r="M2169" s="4"/>
      <c r="N2169" s="2" t="s">
        <v>127</v>
      </c>
      <c r="O2169" s="2"/>
      <c r="P2169" s="4">
        <v>1</v>
      </c>
      <c r="Q2169" s="2" t="s">
        <v>1960</v>
      </c>
      <c r="R2169" s="11">
        <f>SUBTOTAL(3,_xlfn.SINGLE(tbl_file[RowId]))</f>
        <v>1</v>
      </c>
    </row>
    <row r="2170" spans="10:18">
      <c r="J2170" s="4">
        <v>2295</v>
      </c>
      <c r="K2170" s="21" t="str">
        <f>HYPERLINK("obsidian://open?vault=o2&amp;file=Setup%20Wireguard.md","Setup Wireguard")</f>
        <v>Setup Wireguard</v>
      </c>
      <c r="L2170" s="20" t="s">
        <v>175</v>
      </c>
      <c r="M2170" s="4"/>
      <c r="N2170" s="2" t="s">
        <v>2606</v>
      </c>
      <c r="O2170" s="2"/>
      <c r="P2170" s="4">
        <v>3</v>
      </c>
      <c r="Q2170" s="2" t="s">
        <v>3149</v>
      </c>
      <c r="R2170" s="11">
        <f>SUBTOTAL(3,_xlfn.SINGLE(tbl_file[RowId]))</f>
        <v>1</v>
      </c>
    </row>
    <row r="2171" spans="10:18">
      <c r="J2171" s="4">
        <v>2296</v>
      </c>
      <c r="K2171" s="21" t="str">
        <f>HYPERLINK("obsidian://open?vault=o2&amp;file=Setup%20Wireguard.md","Setup Wireguard")</f>
        <v>Setup Wireguard</v>
      </c>
      <c r="L2171" s="20" t="s">
        <v>175</v>
      </c>
      <c r="M2171" s="4"/>
      <c r="N2171" s="2" t="s">
        <v>133</v>
      </c>
      <c r="O2171" s="2"/>
      <c r="P2171" s="4">
        <v>1</v>
      </c>
      <c r="Q2171" s="2" t="s">
        <v>2111</v>
      </c>
      <c r="R2171" s="11">
        <f>SUBTOTAL(3,_xlfn.SINGLE(tbl_file[RowId]))</f>
        <v>1</v>
      </c>
    </row>
    <row r="2172" spans="10:18">
      <c r="J2172" s="4">
        <v>1271</v>
      </c>
      <c r="K2172" s="21" t="str">
        <f>HYPERLINK("obsidian://open?vault=o2&amp;file=Sex%20on%20the%20Beach.md","Sex on the Beach")</f>
        <v>Sex on the Beach</v>
      </c>
      <c r="L2172" s="20" t="s">
        <v>175</v>
      </c>
      <c r="M2172" s="4"/>
      <c r="N2172" s="2" t="s">
        <v>18</v>
      </c>
      <c r="O2172" s="2"/>
      <c r="P2172" s="4">
        <v>1</v>
      </c>
      <c r="Q2172" s="2" t="s">
        <v>381</v>
      </c>
      <c r="R2172" s="11">
        <f>SUBTOTAL(3,_xlfn.SINGLE(tbl_file[RowId]))</f>
        <v>1</v>
      </c>
    </row>
    <row r="2173" spans="10:18">
      <c r="J2173" s="4">
        <v>1272</v>
      </c>
      <c r="K2173" s="21" t="str">
        <f>HYPERLINK("obsidian://open?vault=o2&amp;file=Sex%20on%20the%20Beach.md","Sex on the Beach")</f>
        <v>Sex on the Beach</v>
      </c>
      <c r="L2173" s="20" t="s">
        <v>175</v>
      </c>
      <c r="M2173" s="4"/>
      <c r="N2173" s="2" t="s">
        <v>25</v>
      </c>
      <c r="O2173" s="2"/>
      <c r="P2173" s="4">
        <v>1</v>
      </c>
      <c r="Q2173" s="2" t="s">
        <v>432</v>
      </c>
      <c r="R2173" s="11">
        <f>SUBTOTAL(3,_xlfn.SINGLE(tbl_file[RowId]))</f>
        <v>1</v>
      </c>
    </row>
    <row r="2174" spans="10:18">
      <c r="J2174" s="4">
        <v>1273</v>
      </c>
      <c r="K2174" s="21" t="str">
        <f>HYPERLINK("obsidian://open?vault=o2&amp;file=Sex%20on%20the%20Beach.md","Sex on the Beach")</f>
        <v>Sex on the Beach</v>
      </c>
      <c r="L2174" s="20" t="s">
        <v>175</v>
      </c>
      <c r="M2174" s="4"/>
      <c r="N2174" s="2" t="s">
        <v>48</v>
      </c>
      <c r="O2174" s="2"/>
      <c r="P2174" s="4">
        <v>1</v>
      </c>
      <c r="Q2174" s="2" t="s">
        <v>1423</v>
      </c>
      <c r="R2174" s="11">
        <f>SUBTOTAL(3,_xlfn.SINGLE(tbl_file[RowId]))</f>
        <v>1</v>
      </c>
    </row>
    <row r="2175" spans="10:18">
      <c r="J2175" s="4">
        <v>1274</v>
      </c>
      <c r="K2175" s="21" t="str">
        <f>HYPERLINK("obsidian://open?vault=o2&amp;file=Sex%20on%20the%20Beach.md","Sex on the Beach")</f>
        <v>Sex on the Beach</v>
      </c>
      <c r="L2175" s="20" t="s">
        <v>175</v>
      </c>
      <c r="M2175" s="4"/>
      <c r="N2175" s="2" t="s">
        <v>2606</v>
      </c>
      <c r="O2175" s="2"/>
      <c r="P2175" s="4">
        <v>2</v>
      </c>
      <c r="Q2175" s="2" t="s">
        <v>3012</v>
      </c>
      <c r="R2175" s="11">
        <f>SUBTOTAL(3,_xlfn.SINGLE(tbl_file[RowId]))</f>
        <v>1</v>
      </c>
    </row>
    <row r="2176" spans="10:18">
      <c r="J2176" s="4">
        <v>1275</v>
      </c>
      <c r="K2176" s="21" t="str">
        <f>HYPERLINK("obsidian://open?vault=o2&amp;file=Sex%20on%20the%20Beach.md","Sex on the Beach")</f>
        <v>Sex on the Beach</v>
      </c>
      <c r="L2176" s="20" t="s">
        <v>175</v>
      </c>
      <c r="M2176" s="4"/>
      <c r="N2176" s="2" t="s">
        <v>133</v>
      </c>
      <c r="O2176" s="2"/>
      <c r="P2176" s="4">
        <v>1</v>
      </c>
      <c r="Q2176" s="2" t="s">
        <v>2107</v>
      </c>
      <c r="R2176" s="11">
        <f>SUBTOTAL(3,_xlfn.SINGLE(tbl_file[RowId]))</f>
        <v>1</v>
      </c>
    </row>
    <row r="2177" spans="10:18">
      <c r="J2177" s="4">
        <v>2311</v>
      </c>
      <c r="K2177" s="21" t="str">
        <f>HYPERLINK("obsidian://open?vault=o2&amp;file=Showing%20inline%20titles.md","Showing inline titles")</f>
        <v>Showing inline titles</v>
      </c>
      <c r="L2177" s="20" t="s">
        <v>175</v>
      </c>
      <c r="M2177" s="4"/>
      <c r="N2177" s="2" t="s">
        <v>50</v>
      </c>
      <c r="O2177" s="2"/>
      <c r="P2177" s="4">
        <v>1</v>
      </c>
      <c r="Q2177" s="2" t="s">
        <v>1528</v>
      </c>
      <c r="R2177" s="11">
        <f>SUBTOTAL(3,_xlfn.SINGLE(tbl_file[RowId]))</f>
        <v>1</v>
      </c>
    </row>
    <row r="2178" spans="10:18">
      <c r="J2178" s="4">
        <v>2312</v>
      </c>
      <c r="K2178" s="21" t="str">
        <f>HYPERLINK("obsidian://open?vault=o2&amp;file=Simple%20Peeps%20Query.md","Simple Peeps Query")</f>
        <v>Simple Peeps Query</v>
      </c>
      <c r="L2178" s="20" t="s">
        <v>175</v>
      </c>
      <c r="M2178" s="4"/>
      <c r="N2178" s="2" t="s">
        <v>2606</v>
      </c>
      <c r="O2178" s="2"/>
      <c r="P2178" s="4">
        <v>1</v>
      </c>
      <c r="Q2178" s="2" t="s">
        <v>2455</v>
      </c>
      <c r="R2178" s="11">
        <f>SUBTOTAL(3,_xlfn.SINGLE(tbl_file[RowId]))</f>
        <v>1</v>
      </c>
    </row>
    <row r="2179" spans="10:18">
      <c r="J2179" s="4">
        <v>2313</v>
      </c>
      <c r="K2179" s="21" t="str">
        <f>HYPERLINK("obsidian://open?vault=o2&amp;file=Simple%20Peeps%20Query.md","Simple Peeps Query")</f>
        <v>Simple Peeps Query</v>
      </c>
      <c r="L2179" s="20" t="s">
        <v>175</v>
      </c>
      <c r="M2179" s="4"/>
      <c r="N2179" s="2" t="s">
        <v>133</v>
      </c>
      <c r="O2179" s="2"/>
      <c r="P2179" s="4">
        <v>1</v>
      </c>
      <c r="Q2179" s="2" t="s">
        <v>2693</v>
      </c>
      <c r="R2179" s="11">
        <f>SUBTOTAL(3,_xlfn.SINGLE(tbl_file[RowId]))</f>
        <v>1</v>
      </c>
    </row>
    <row r="2180" spans="10:18">
      <c r="J2180" s="4">
        <v>2314</v>
      </c>
      <c r="K2180" s="21" t="str">
        <f>HYPERLINK("obsidian://open?vault=o2&amp;file=Sobriety%20Date.md","Sobriety Date")</f>
        <v>Sobriety Date</v>
      </c>
      <c r="L2180" s="20" t="s">
        <v>175</v>
      </c>
      <c r="M2180" s="4"/>
      <c r="N2180" s="2" t="s">
        <v>127</v>
      </c>
      <c r="O2180" s="2"/>
      <c r="P2180" s="4">
        <v>1</v>
      </c>
      <c r="Q2180" s="2" t="s">
        <v>1960</v>
      </c>
      <c r="R2180" s="11">
        <f>SUBTOTAL(3,_xlfn.SINGLE(tbl_file[RowId]))</f>
        <v>1</v>
      </c>
    </row>
    <row r="2181" spans="10:18">
      <c r="J2181" s="4">
        <v>2315</v>
      </c>
      <c r="K2181" s="21" t="str">
        <f>HYPERLINK("obsidian://open?vault=o2&amp;file=Sobriety%20Date.md","Sobriety Date")</f>
        <v>Sobriety Date</v>
      </c>
      <c r="L2181" s="20" t="s">
        <v>175</v>
      </c>
      <c r="M2181" s="4"/>
      <c r="N2181" s="2" t="s">
        <v>2606</v>
      </c>
      <c r="O2181" s="2"/>
      <c r="P2181" s="4">
        <v>3</v>
      </c>
      <c r="Q2181" s="2" t="s">
        <v>3154</v>
      </c>
      <c r="R2181" s="11">
        <f>SUBTOTAL(3,_xlfn.SINGLE(tbl_file[RowId]))</f>
        <v>1</v>
      </c>
    </row>
    <row r="2182" spans="10:18">
      <c r="J2182" s="4">
        <v>2316</v>
      </c>
      <c r="K2182" s="21" t="str">
        <f>HYPERLINK("obsidian://open?vault=o2&amp;file=Social%20Media%20OSINT.md","Social Media OSINT")</f>
        <v>Social Media OSINT</v>
      </c>
      <c r="L2182" s="20" t="s">
        <v>175</v>
      </c>
      <c r="M2182" s="4"/>
      <c r="N2182" s="2" t="s">
        <v>50</v>
      </c>
      <c r="O2182" s="2"/>
      <c r="P2182" s="4">
        <v>1</v>
      </c>
      <c r="Q2182" s="2" t="s">
        <v>1448</v>
      </c>
      <c r="R2182" s="11">
        <f>SUBTOTAL(3,_xlfn.SINGLE(tbl_file[RowId]))</f>
        <v>1</v>
      </c>
    </row>
    <row r="2183" spans="10:18">
      <c r="J2183" s="4">
        <v>2317</v>
      </c>
      <c r="K2183" s="21" t="str">
        <f>HYPERLINK("obsidian://open?vault=o2&amp;file=Social%20Media%20OSINT.md","Social Media OSINT")</f>
        <v>Social Media OSINT</v>
      </c>
      <c r="L2183" s="20" t="s">
        <v>175</v>
      </c>
      <c r="M2183" s="4"/>
      <c r="N2183" s="2" t="s">
        <v>2606</v>
      </c>
      <c r="O2183" s="2"/>
      <c r="P2183" s="4">
        <v>2</v>
      </c>
      <c r="Q2183" s="2" t="s">
        <v>3084</v>
      </c>
      <c r="R2183" s="11">
        <f>SUBTOTAL(3,_xlfn.SINGLE(tbl_file[RowId]))</f>
        <v>1</v>
      </c>
    </row>
    <row r="2184" spans="10:18">
      <c r="J2184" s="4">
        <v>2318</v>
      </c>
      <c r="K2184" s="21" t="str">
        <f>HYPERLINK("obsidian://open?vault=o2&amp;file=Social%20Media%20OSINT.md","Social Media OSINT")</f>
        <v>Social Media OSINT</v>
      </c>
      <c r="L2184" s="20" t="s">
        <v>175</v>
      </c>
      <c r="M2184" s="4"/>
      <c r="N2184" s="2" t="s">
        <v>133</v>
      </c>
      <c r="O2184" s="2"/>
      <c r="P2184" s="4">
        <v>1</v>
      </c>
      <c r="Q2184" s="2" t="s">
        <v>2622</v>
      </c>
      <c r="R2184" s="11">
        <f>SUBTOTAL(3,_xlfn.SINGLE(tbl_file[RowId]))</f>
        <v>1</v>
      </c>
    </row>
    <row r="2185" spans="10:18">
      <c r="J2185" s="4">
        <v>422</v>
      </c>
      <c r="K2185" s="21" t="str">
        <f>HYPERLINK("obsidian://open?vault=o2&amp;file=Software%20under%20the%20Virtualmin%20Professional%20Plan.md","Software under the Virtualmin Professional Plan")</f>
        <v>Software under the Virtualmin Professional Plan</v>
      </c>
      <c r="L2185" s="20" t="s">
        <v>175</v>
      </c>
      <c r="M2185" s="4"/>
      <c r="N2185" s="2" t="s">
        <v>50</v>
      </c>
      <c r="O2185" s="2"/>
      <c r="P2185" s="4">
        <v>1</v>
      </c>
      <c r="Q2185" s="2" t="s">
        <v>1558</v>
      </c>
      <c r="R2185" s="11">
        <f>SUBTOTAL(3,_xlfn.SINGLE(tbl_file[RowId]))</f>
        <v>1</v>
      </c>
    </row>
    <row r="2186" spans="10:18">
      <c r="J2186" s="4">
        <v>423</v>
      </c>
      <c r="K2186" s="21" t="str">
        <f>HYPERLINK("obsidian://open?vault=o2&amp;file=Software%20under%20the%20Virtualmin%20Professional%20Plan.md","Software under the Virtualmin Professional Plan")</f>
        <v>Software under the Virtualmin Professional Plan</v>
      </c>
      <c r="L2186" s="20" t="s">
        <v>175</v>
      </c>
      <c r="M2186" s="4"/>
      <c r="N2186" s="2" t="s">
        <v>127</v>
      </c>
      <c r="O2186" s="2"/>
      <c r="P2186" s="4">
        <v>1</v>
      </c>
      <c r="Q2186" s="2" t="s">
        <v>1960</v>
      </c>
      <c r="R2186" s="11">
        <f>SUBTOTAL(3,_xlfn.SINGLE(tbl_file[RowId]))</f>
        <v>1</v>
      </c>
    </row>
    <row r="2187" spans="10:18">
      <c r="J2187" s="4">
        <v>424</v>
      </c>
      <c r="K2187" s="21" t="str">
        <f>HYPERLINK("obsidian://open?vault=o2&amp;file=Software%20under%20the%20Virtualmin%20Professional%20Plan.md","Software under the Virtualmin Professional Plan")</f>
        <v>Software under the Virtualmin Professional Plan</v>
      </c>
      <c r="L2187" s="20" t="s">
        <v>175</v>
      </c>
      <c r="M2187" s="4"/>
      <c r="N2187" s="2" t="s">
        <v>2606</v>
      </c>
      <c r="O2187" s="2"/>
      <c r="P2187" s="4">
        <v>3</v>
      </c>
      <c r="Q2187" s="2" t="s">
        <v>2683</v>
      </c>
      <c r="R2187" s="11">
        <f>SUBTOTAL(3,_xlfn.SINGLE(tbl_file[RowId]))</f>
        <v>1</v>
      </c>
    </row>
    <row r="2188" spans="10:18">
      <c r="J2188" s="4">
        <v>425</v>
      </c>
      <c r="K2188" s="21" t="str">
        <f>HYPERLINK("obsidian://open?vault=o2&amp;file=Software%20under%20the%20Virtualmin%20Professional%20Plan.md","Software under the Virtualmin Professional Plan")</f>
        <v>Software under the Virtualmin Professional Plan</v>
      </c>
      <c r="L2188" s="20" t="s">
        <v>175</v>
      </c>
      <c r="M2188" s="4"/>
      <c r="N2188" s="2" t="s">
        <v>133</v>
      </c>
      <c r="O2188" s="2"/>
      <c r="P2188" s="4">
        <v>1</v>
      </c>
      <c r="Q2188" s="2" t="s">
        <v>2111</v>
      </c>
      <c r="R2188" s="11">
        <f>SUBTOTAL(3,_xlfn.SINGLE(tbl_file[RowId]))</f>
        <v>1</v>
      </c>
    </row>
    <row r="2189" spans="10:18">
      <c r="J2189" s="4">
        <v>1863</v>
      </c>
      <c r="K2189" s="21" t="str">
        <f>HYPERLINK("obsidian://open?vault=o2&amp;file=someDailyNote.md","someDailyNote")</f>
        <v>someDailyNote</v>
      </c>
      <c r="L2189" s="20" t="s">
        <v>175</v>
      </c>
      <c r="M2189" s="4"/>
      <c r="N2189" s="2" t="s">
        <v>129</v>
      </c>
      <c r="O2189" s="2"/>
      <c r="P2189" s="4">
        <v>1</v>
      </c>
      <c r="Q2189" s="2" t="s">
        <v>1430</v>
      </c>
      <c r="R2189" s="11">
        <f>SUBTOTAL(3,_xlfn.SINGLE(tbl_file[RowId]))</f>
        <v>1</v>
      </c>
    </row>
    <row r="2190" spans="10:18">
      <c r="J2190" s="4">
        <v>1864</v>
      </c>
      <c r="K2190" s="21" t="str">
        <f>HYPERLINK("obsidian://open?vault=o2&amp;file=someDailyNote.md","someDailyNote")</f>
        <v>someDailyNote</v>
      </c>
      <c r="L2190" s="20" t="s">
        <v>175</v>
      </c>
      <c r="M2190" s="4"/>
      <c r="N2190" s="2" t="s">
        <v>2606</v>
      </c>
      <c r="O2190" s="2"/>
      <c r="P2190" s="4">
        <v>1</v>
      </c>
      <c r="Q2190" s="2" t="s">
        <v>2317</v>
      </c>
      <c r="R2190" s="11">
        <f>SUBTOTAL(3,_xlfn.SINGLE(tbl_file[RowId]))</f>
        <v>1</v>
      </c>
    </row>
    <row r="2191" spans="10:18">
      <c r="J2191" s="4">
        <v>515</v>
      </c>
      <c r="K2191" s="21" t="str">
        <f>HYPERLINK("obsidian://open?vault=o2&amp;file=SSD%20Psych%20Visit.md","SSD Psych Visit")</f>
        <v>SSD Psych Visit</v>
      </c>
      <c r="L2191" s="20" t="s">
        <v>175</v>
      </c>
      <c r="M2191" s="4"/>
      <c r="N2191" s="2" t="s">
        <v>133</v>
      </c>
      <c r="O2191" s="2"/>
      <c r="P2191" s="4">
        <v>1</v>
      </c>
      <c r="Q2191" s="2" t="s">
        <v>2622</v>
      </c>
      <c r="R2191" s="11">
        <f>SUBTOTAL(3,_xlfn.SINGLE(tbl_file[RowId]))</f>
        <v>1</v>
      </c>
    </row>
    <row r="2192" spans="10:18">
      <c r="J2192" s="4">
        <v>2319</v>
      </c>
      <c r="K2192" s="21" t="str">
        <f>HYPERLINK("obsidian://open?vault=o2&amp;file=Starter%20Vault%20Changelog.md","Starter Vault Changelog")</f>
        <v>Starter Vault Changelog</v>
      </c>
      <c r="L2192" s="20" t="s">
        <v>175</v>
      </c>
      <c r="M2192" s="4"/>
      <c r="N2192" s="2" t="s">
        <v>50</v>
      </c>
      <c r="O2192" s="2"/>
      <c r="P2192" s="4">
        <v>1</v>
      </c>
      <c r="Q2192" s="2" t="s">
        <v>1562</v>
      </c>
      <c r="R2192" s="11">
        <f>SUBTOTAL(3,_xlfn.SINGLE(tbl_file[RowId]))</f>
        <v>1</v>
      </c>
    </row>
    <row r="2193" spans="10:18">
      <c r="J2193" s="4">
        <v>2320</v>
      </c>
      <c r="K2193" s="21" t="str">
        <f>HYPERLINK("obsidian://open?vault=o2&amp;file=Streaming%20Bundles.md","Streaming Bundles")</f>
        <v>Streaming Bundles</v>
      </c>
      <c r="L2193" s="20" t="s">
        <v>175</v>
      </c>
      <c r="M2193" s="4"/>
      <c r="N2193" s="2" t="s">
        <v>12</v>
      </c>
      <c r="O2193" s="2"/>
      <c r="P2193" s="4">
        <v>1</v>
      </c>
      <c r="Q2193" s="2" t="s">
        <v>268</v>
      </c>
      <c r="R2193" s="11">
        <f>SUBTOTAL(3,_xlfn.SINGLE(tbl_file[RowId]))</f>
        <v>1</v>
      </c>
    </row>
    <row r="2194" spans="10:18">
      <c r="J2194" s="4">
        <v>2321</v>
      </c>
      <c r="K2194" s="21" t="str">
        <f>HYPERLINK("obsidian://open?vault=o2&amp;file=Streaming%20Bundles.md","Streaming Bundles")</f>
        <v>Streaming Bundles</v>
      </c>
      <c r="L2194" s="20" t="s">
        <v>175</v>
      </c>
      <c r="M2194" s="4"/>
      <c r="N2194" s="2" t="s">
        <v>48</v>
      </c>
      <c r="O2194" s="2"/>
      <c r="P2194" s="4">
        <v>4</v>
      </c>
      <c r="Q2194" s="2" t="s">
        <v>3155</v>
      </c>
      <c r="R2194" s="11">
        <f>SUBTOTAL(3,_xlfn.SINGLE(tbl_file[RowId]))</f>
        <v>1</v>
      </c>
    </row>
    <row r="2195" spans="10:18">
      <c r="J2195" s="4">
        <v>2322</v>
      </c>
      <c r="K2195" s="21" t="str">
        <f>HYPERLINK("obsidian://open?vault=o2&amp;file=Streaming%20Bundles.md","Streaming Bundles")</f>
        <v>Streaming Bundles</v>
      </c>
      <c r="L2195" s="20" t="s">
        <v>175</v>
      </c>
      <c r="M2195" s="4"/>
      <c r="N2195" s="2" t="s">
        <v>50</v>
      </c>
      <c r="O2195" s="2"/>
      <c r="P2195" s="4">
        <v>1</v>
      </c>
      <c r="Q2195" s="2" t="s">
        <v>1520</v>
      </c>
      <c r="R2195" s="11">
        <f>SUBTOTAL(3,_xlfn.SINGLE(tbl_file[RowId]))</f>
        <v>1</v>
      </c>
    </row>
    <row r="2196" spans="10:18">
      <c r="J2196" s="4">
        <v>2323</v>
      </c>
      <c r="K2196" s="21" t="str">
        <f>HYPERLINK("obsidian://open?vault=o2&amp;file=Streaming%20Bundles.md","Streaming Bundles")</f>
        <v>Streaming Bundles</v>
      </c>
      <c r="L2196" s="20" t="s">
        <v>175</v>
      </c>
      <c r="M2196" s="4"/>
      <c r="N2196" s="2" t="s">
        <v>127</v>
      </c>
      <c r="O2196" s="2"/>
      <c r="P2196" s="4">
        <v>1</v>
      </c>
      <c r="Q2196" s="2" t="s">
        <v>1956</v>
      </c>
      <c r="R2196" s="11">
        <f>SUBTOTAL(3,_xlfn.SINGLE(tbl_file[RowId]))</f>
        <v>1</v>
      </c>
    </row>
    <row r="2197" spans="10:18">
      <c r="J2197" s="4">
        <v>2324</v>
      </c>
      <c r="K2197" s="21" t="str">
        <f>HYPERLINK("obsidian://open?vault=o2&amp;file=Streaming%20Bundles.md","Streaming Bundles")</f>
        <v>Streaming Bundles</v>
      </c>
      <c r="L2197" s="20" t="s">
        <v>175</v>
      </c>
      <c r="M2197" s="4"/>
      <c r="N2197" s="2" t="s">
        <v>2606</v>
      </c>
      <c r="O2197" s="2"/>
      <c r="P2197" s="4">
        <v>1</v>
      </c>
      <c r="Q2197" s="2" t="s">
        <v>2340</v>
      </c>
      <c r="R2197" s="11">
        <f>SUBTOTAL(3,_xlfn.SINGLE(tbl_file[RowId]))</f>
        <v>1</v>
      </c>
    </row>
    <row r="2198" spans="10:18">
      <c r="J2198" s="4">
        <v>2325</v>
      </c>
      <c r="K2198" s="21" t="str">
        <f>HYPERLINK("obsidian://open?vault=o2&amp;file=Summarizing%20Content.md","Summarizing Content")</f>
        <v>Summarizing Content</v>
      </c>
      <c r="L2198" s="20" t="s">
        <v>175</v>
      </c>
      <c r="M2198" s="4"/>
      <c r="N2198" s="2" t="s">
        <v>50</v>
      </c>
      <c r="O2198" s="2"/>
      <c r="P2198" s="4">
        <v>1</v>
      </c>
      <c r="Q2198" s="2" t="s">
        <v>1450</v>
      </c>
      <c r="R2198" s="11">
        <f>SUBTOTAL(3,_xlfn.SINGLE(tbl_file[RowId]))</f>
        <v>1</v>
      </c>
    </row>
    <row r="2199" spans="10:18">
      <c r="J2199" s="4">
        <v>2227</v>
      </c>
      <c r="K2199" s="21" t="str">
        <f>HYPERLINK("obsidian://open?vault=o2&amp;file=SWOT.md","SWOT")</f>
        <v>SWOT</v>
      </c>
      <c r="L2199" s="20" t="s">
        <v>175</v>
      </c>
      <c r="M2199" s="4"/>
      <c r="N2199" s="2" t="s">
        <v>133</v>
      </c>
      <c r="O2199" s="2"/>
      <c r="P2199" s="4">
        <v>1</v>
      </c>
      <c r="Q2199" s="2" t="s">
        <v>2622</v>
      </c>
      <c r="R2199" s="11">
        <f>SUBTOTAL(3,_xlfn.SINGLE(tbl_file[RowId]))</f>
        <v>1</v>
      </c>
    </row>
    <row r="2200" spans="10:18">
      <c r="J2200" s="4">
        <v>1139</v>
      </c>
      <c r="K2200" s="21" t="str">
        <f>HYPERLINK("obsidian://open?vault=o2&amp;file=Tag%20Taxonomy.md","Tag Taxonomy")</f>
        <v>Tag Taxonomy</v>
      </c>
      <c r="L2200" s="20" t="s">
        <v>175</v>
      </c>
      <c r="M2200" s="4"/>
      <c r="N2200" s="2" t="s">
        <v>118</v>
      </c>
      <c r="O2200" s="2"/>
      <c r="P2200" s="4">
        <v>1</v>
      </c>
      <c r="Q2200" s="2" t="s">
        <v>1641</v>
      </c>
      <c r="R2200" s="11">
        <f>SUBTOTAL(3,_xlfn.SINGLE(tbl_file[RowId]))</f>
        <v>1</v>
      </c>
    </row>
    <row r="2201" spans="10:18">
      <c r="J2201" s="4">
        <v>1140</v>
      </c>
      <c r="K2201" s="21" t="str">
        <f>HYPERLINK("obsidian://open?vault=o2&amp;file=Tag%20Taxonomy.md","Tag Taxonomy")</f>
        <v>Tag Taxonomy</v>
      </c>
      <c r="L2201" s="20" t="s">
        <v>175</v>
      </c>
      <c r="M2201" s="4"/>
      <c r="N2201" s="2" t="s">
        <v>123</v>
      </c>
      <c r="O2201" s="2"/>
      <c r="P2201" s="4">
        <v>1</v>
      </c>
      <c r="Q2201" s="2" t="s">
        <v>1564</v>
      </c>
      <c r="R2201" s="11">
        <f>SUBTOTAL(3,_xlfn.SINGLE(tbl_file[RowId]))</f>
        <v>1</v>
      </c>
    </row>
    <row r="2202" spans="10:18">
      <c r="J2202" s="4">
        <v>1141</v>
      </c>
      <c r="K2202" s="21" t="str">
        <f>HYPERLINK("obsidian://open?vault=o2&amp;file=Tag%20Taxonomy.md","Tag Taxonomy")</f>
        <v>Tag Taxonomy</v>
      </c>
      <c r="L2202" s="20" t="s">
        <v>175</v>
      </c>
      <c r="M2202" s="4"/>
      <c r="N2202" s="2" t="s">
        <v>127</v>
      </c>
      <c r="O2202" s="2"/>
      <c r="P2202" s="4">
        <v>1</v>
      </c>
      <c r="Q2202" s="2" t="s">
        <v>1968</v>
      </c>
      <c r="R2202" s="11">
        <f>SUBTOTAL(3,_xlfn.SINGLE(tbl_file[RowId]))</f>
        <v>1</v>
      </c>
    </row>
    <row r="2203" spans="10:18">
      <c r="J2203" s="4">
        <v>1142</v>
      </c>
      <c r="K2203" s="21" t="str">
        <f>HYPERLINK("obsidian://open?vault=o2&amp;file=Tag%20Taxonomy.md","Tag Taxonomy")</f>
        <v>Tag Taxonomy</v>
      </c>
      <c r="L2203" s="20" t="s">
        <v>175</v>
      </c>
      <c r="M2203" s="4"/>
      <c r="N2203" s="2" t="s">
        <v>129</v>
      </c>
      <c r="O2203" s="2"/>
      <c r="P2203" s="4">
        <v>1</v>
      </c>
      <c r="Q2203" s="2" t="s">
        <v>1974</v>
      </c>
      <c r="R2203" s="11">
        <f>SUBTOTAL(3,_xlfn.SINGLE(tbl_file[RowId]))</f>
        <v>1</v>
      </c>
    </row>
    <row r="2204" spans="10:18">
      <c r="J2204" s="4">
        <v>1143</v>
      </c>
      <c r="K2204" s="21" t="str">
        <f>HYPERLINK("obsidian://open?vault=o2&amp;file=Tag%20Taxonomy.md","Tag Taxonomy")</f>
        <v>Tag Taxonomy</v>
      </c>
      <c r="L2204" s="20" t="s">
        <v>175</v>
      </c>
      <c r="M2204" s="4"/>
      <c r="N2204" s="2" t="s">
        <v>2606</v>
      </c>
      <c r="O2204" s="2"/>
      <c r="P2204" s="4">
        <v>3</v>
      </c>
      <c r="Q2204" s="2" t="s">
        <v>2989</v>
      </c>
      <c r="R2204" s="11">
        <f>SUBTOTAL(3,_xlfn.SINGLE(tbl_file[RowId]))</f>
        <v>1</v>
      </c>
    </row>
    <row r="2205" spans="10:18">
      <c r="J2205" s="4">
        <v>1169</v>
      </c>
      <c r="K2205" s="21" t="str">
        <f>HYPERLINK("obsidian://open?vault=o2&amp;file=Tag%20Usage%20Query1.md","Tag Usage Query1")</f>
        <v>Tag Usage Query1</v>
      </c>
      <c r="L2205" s="20" t="s">
        <v>175</v>
      </c>
      <c r="M2205" s="4"/>
      <c r="N2205" s="2" t="s">
        <v>133</v>
      </c>
      <c r="O2205" s="2"/>
      <c r="P2205" s="4">
        <v>1</v>
      </c>
      <c r="Q2205" s="2" t="s">
        <v>2693</v>
      </c>
      <c r="R2205" s="11">
        <f>SUBTOTAL(3,_xlfn.SINGLE(tbl_file[RowId]))</f>
        <v>1</v>
      </c>
    </row>
    <row r="2206" spans="10:18">
      <c r="J2206" s="4">
        <v>1170</v>
      </c>
      <c r="K2206" s="21" t="str">
        <f>HYPERLINK("obsidian://open?vault=o2&amp;file=Tag%20Usage%20Query2.md","Tag Usage Query2")</f>
        <v>Tag Usage Query2</v>
      </c>
      <c r="L2206" s="20" t="s">
        <v>175</v>
      </c>
      <c r="M2206" s="4"/>
      <c r="N2206" s="2" t="s">
        <v>2606</v>
      </c>
      <c r="O2206" s="2"/>
      <c r="P2206" s="4">
        <v>1</v>
      </c>
      <c r="Q2206" s="2" t="s">
        <v>2582</v>
      </c>
      <c r="R2206" s="11">
        <f>SUBTOTAL(3,_xlfn.SINGLE(tbl_file[RowId]))</f>
        <v>1</v>
      </c>
    </row>
    <row r="2207" spans="10:18">
      <c r="J2207" s="4">
        <v>1171</v>
      </c>
      <c r="K2207" s="21" t="str">
        <f>HYPERLINK("obsidian://open?vault=o2&amp;file=Tag%20Usage%20Query2.md","Tag Usage Query2")</f>
        <v>Tag Usage Query2</v>
      </c>
      <c r="L2207" s="20" t="s">
        <v>175</v>
      </c>
      <c r="M2207" s="4"/>
      <c r="N2207" s="2" t="s">
        <v>133</v>
      </c>
      <c r="O2207" s="2"/>
      <c r="P2207" s="4">
        <v>1</v>
      </c>
      <c r="Q2207" s="2" t="s">
        <v>2693</v>
      </c>
      <c r="R2207" s="11">
        <f>SUBTOTAL(3,_xlfn.SINGLE(tbl_file[RowId]))</f>
        <v>1</v>
      </c>
    </row>
    <row r="2208" spans="10:18">
      <c r="J2208" s="4">
        <v>1172</v>
      </c>
      <c r="K2208" s="21" t="str">
        <f>HYPERLINK("obsidian://open?vault=o2&amp;file=Tag%20Usage%20Query3.md","Tag Usage Query3")</f>
        <v>Tag Usage Query3</v>
      </c>
      <c r="L2208" s="20" t="s">
        <v>175</v>
      </c>
      <c r="M2208" s="4"/>
      <c r="N2208" s="2" t="s">
        <v>2606</v>
      </c>
      <c r="O2208" s="2"/>
      <c r="P2208" s="4">
        <v>3</v>
      </c>
      <c r="Q2208" s="2" t="s">
        <v>2994</v>
      </c>
      <c r="R2208" s="11">
        <f>SUBTOTAL(3,_xlfn.SINGLE(tbl_file[RowId]))</f>
        <v>1</v>
      </c>
    </row>
    <row r="2209" spans="10:18">
      <c r="J2209" s="4">
        <v>1173</v>
      </c>
      <c r="K2209" s="21" t="str">
        <f>HYPERLINK("obsidian://open?vault=o2&amp;file=Tag%20Usage%20Query3.md","Tag Usage Query3")</f>
        <v>Tag Usage Query3</v>
      </c>
      <c r="L2209" s="20" t="s">
        <v>175</v>
      </c>
      <c r="M2209" s="4"/>
      <c r="N2209" s="2" t="s">
        <v>133</v>
      </c>
      <c r="O2209" s="2"/>
      <c r="P2209" s="4">
        <v>1</v>
      </c>
      <c r="Q2209" s="2" t="s">
        <v>2693</v>
      </c>
      <c r="R2209" s="11">
        <f>SUBTOTAL(3,_xlfn.SINGLE(tbl_file[RowId]))</f>
        <v>1</v>
      </c>
    </row>
    <row r="2210" spans="10:18">
      <c r="J2210" s="4">
        <v>2326</v>
      </c>
      <c r="K2210" s="21" t="str">
        <f>HYPERLINK("obsidian://open?vault=o2&amp;file=Template%20Debrief.md","Template Debrief")</f>
        <v>Template Debrief</v>
      </c>
      <c r="L2210" s="20" t="s">
        <v>175</v>
      </c>
      <c r="M2210" s="4"/>
      <c r="N2210" s="2" t="s">
        <v>50</v>
      </c>
      <c r="O2210" s="2"/>
      <c r="P2210" s="4">
        <v>2</v>
      </c>
      <c r="Q2210" s="2" t="s">
        <v>3156</v>
      </c>
      <c r="R2210" s="11">
        <f>SUBTOTAL(3,_xlfn.SINGLE(tbl_file[RowId]))</f>
        <v>1</v>
      </c>
    </row>
    <row r="2211" spans="10:18">
      <c r="J2211" s="4">
        <v>2327</v>
      </c>
      <c r="K2211" s="21" t="str">
        <f>HYPERLINK("obsidian://open?vault=o2&amp;file=Template%20Debrief.md","Template Debrief")</f>
        <v>Template Debrief</v>
      </c>
      <c r="L2211" s="20" t="s">
        <v>175</v>
      </c>
      <c r="M2211" s="4"/>
      <c r="N2211" s="2" t="s">
        <v>118</v>
      </c>
      <c r="O2211" s="2"/>
      <c r="P2211" s="4">
        <v>1</v>
      </c>
      <c r="Q2211" s="2" t="s">
        <v>1641</v>
      </c>
      <c r="R2211" s="11">
        <f>SUBTOTAL(3,_xlfn.SINGLE(tbl_file[RowId]))</f>
        <v>1</v>
      </c>
    </row>
    <row r="2212" spans="10:18">
      <c r="J2212" s="4">
        <v>2328</v>
      </c>
      <c r="K2212" s="21" t="str">
        <f>HYPERLINK("obsidian://open?vault=o2&amp;file=Template%20Debrief.md","Template Debrief")</f>
        <v>Template Debrief</v>
      </c>
      <c r="L2212" s="20" t="s">
        <v>175</v>
      </c>
      <c r="M2212" s="4"/>
      <c r="N2212" s="2" t="s">
        <v>129</v>
      </c>
      <c r="O2212" s="2"/>
      <c r="P2212" s="4">
        <v>1</v>
      </c>
      <c r="Q2212" s="2" t="s">
        <v>1974</v>
      </c>
      <c r="R2212" s="11">
        <f>SUBTOTAL(3,_xlfn.SINGLE(tbl_file[RowId]))</f>
        <v>1</v>
      </c>
    </row>
    <row r="2213" spans="10:18">
      <c r="J2213" s="4">
        <v>2329</v>
      </c>
      <c r="K2213" s="21" t="str">
        <f>HYPERLINK("obsidian://open?vault=o2&amp;file=Template%20Debrief.md","Template Debrief")</f>
        <v>Template Debrief</v>
      </c>
      <c r="L2213" s="20" t="s">
        <v>175</v>
      </c>
      <c r="M2213" s="4"/>
      <c r="N2213" s="2" t="s">
        <v>2606</v>
      </c>
      <c r="O2213" s="2"/>
      <c r="P2213" s="4">
        <v>5</v>
      </c>
      <c r="Q2213" s="2" t="s">
        <v>3157</v>
      </c>
      <c r="R2213" s="11">
        <f>SUBTOTAL(3,_xlfn.SINGLE(tbl_file[RowId]))</f>
        <v>1</v>
      </c>
    </row>
    <row r="2214" spans="10:18">
      <c r="J2214" s="4">
        <v>2330</v>
      </c>
      <c r="K2214" s="21" t="str">
        <f>HYPERLINK("obsidian://open?vault=o2&amp;file=Template%20Explanations.md","Template Explanations")</f>
        <v>Template Explanations</v>
      </c>
      <c r="L2214" s="20" t="s">
        <v>175</v>
      </c>
      <c r="M2214" s="4"/>
      <c r="N2214" s="2" t="s">
        <v>50</v>
      </c>
      <c r="O2214" s="2"/>
      <c r="P2214" s="4">
        <v>2</v>
      </c>
      <c r="Q2214" s="2" t="s">
        <v>3158</v>
      </c>
      <c r="R2214" s="11">
        <f>SUBTOTAL(3,_xlfn.SINGLE(tbl_file[RowId]))</f>
        <v>1</v>
      </c>
    </row>
    <row r="2215" spans="10:18">
      <c r="J2215" s="4">
        <v>2331</v>
      </c>
      <c r="K2215" s="21" t="str">
        <f>HYPERLINK("obsidian://open?vault=o2&amp;file=Template%20Explanations.md","Template Explanations")</f>
        <v>Template Explanations</v>
      </c>
      <c r="L2215" s="20" t="s">
        <v>175</v>
      </c>
      <c r="M2215" s="4"/>
      <c r="N2215" s="2" t="s">
        <v>2606</v>
      </c>
      <c r="O2215" s="2"/>
      <c r="P2215" s="4">
        <v>4</v>
      </c>
      <c r="Q2215" s="2" t="s">
        <v>3159</v>
      </c>
      <c r="R2215" s="11">
        <f>SUBTOTAL(3,_xlfn.SINGLE(tbl_file[RowId]))</f>
        <v>1</v>
      </c>
    </row>
    <row r="2216" spans="10:18">
      <c r="J2216" s="4">
        <v>97</v>
      </c>
      <c r="K2216" s="21" t="str">
        <f t="shared" ref="K2216:K2221" si="81">HYPERLINK("obsidian://open?vault=o2&amp;file=Templater%20Cheat%20Sheet.md","Templater Cheat Sheet")</f>
        <v>Templater Cheat Sheet</v>
      </c>
      <c r="L2216" s="20" t="s">
        <v>175</v>
      </c>
      <c r="M2216" s="4"/>
      <c r="N2216" s="2" t="s">
        <v>50</v>
      </c>
      <c r="O2216" s="2"/>
      <c r="P2216" s="4">
        <v>2</v>
      </c>
      <c r="Q2216" s="2" t="s">
        <v>2629</v>
      </c>
      <c r="R2216" s="11">
        <f>SUBTOTAL(3,_xlfn.SINGLE(tbl_file[RowId]))</f>
        <v>1</v>
      </c>
    </row>
    <row r="2217" spans="10:18">
      <c r="J2217" s="4">
        <v>98</v>
      </c>
      <c r="K2217" s="21" t="str">
        <f t="shared" si="81"/>
        <v>Templater Cheat Sheet</v>
      </c>
      <c r="L2217" s="20" t="s">
        <v>175</v>
      </c>
      <c r="M2217" s="4"/>
      <c r="N2217" s="2" t="s">
        <v>125</v>
      </c>
      <c r="O2217" s="2"/>
      <c r="P2217" s="4">
        <v>1</v>
      </c>
      <c r="Q2217" s="2" t="s">
        <v>1893</v>
      </c>
      <c r="R2217" s="11">
        <f>SUBTOTAL(3,_xlfn.SINGLE(tbl_file[RowId]))</f>
        <v>1</v>
      </c>
    </row>
    <row r="2218" spans="10:18">
      <c r="J2218" s="4">
        <v>99</v>
      </c>
      <c r="K2218" s="21" t="str">
        <f t="shared" si="81"/>
        <v>Templater Cheat Sheet</v>
      </c>
      <c r="L2218" s="20" t="s">
        <v>175</v>
      </c>
      <c r="M2218" s="4"/>
      <c r="N2218" s="2" t="s">
        <v>127</v>
      </c>
      <c r="O2218" s="2"/>
      <c r="P2218" s="4">
        <v>1</v>
      </c>
      <c r="Q2218" s="2" t="s">
        <v>1952</v>
      </c>
      <c r="R2218" s="11">
        <f>SUBTOTAL(3,_xlfn.SINGLE(tbl_file[RowId]))</f>
        <v>1</v>
      </c>
    </row>
    <row r="2219" spans="10:18">
      <c r="J2219" s="4">
        <v>100</v>
      </c>
      <c r="K2219" s="21" t="str">
        <f t="shared" si="81"/>
        <v>Templater Cheat Sheet</v>
      </c>
      <c r="L2219" s="20" t="s">
        <v>175</v>
      </c>
      <c r="M2219" s="4"/>
      <c r="N2219" s="2" t="s">
        <v>2606</v>
      </c>
      <c r="O2219" s="2"/>
      <c r="P2219" s="4">
        <v>4</v>
      </c>
      <c r="Q2219" s="2" t="s">
        <v>2630</v>
      </c>
      <c r="R2219" s="11">
        <f>SUBTOTAL(3,_xlfn.SINGLE(tbl_file[RowId]))</f>
        <v>1</v>
      </c>
    </row>
    <row r="2220" spans="10:18">
      <c r="J2220" s="4">
        <v>101</v>
      </c>
      <c r="K2220" s="21" t="str">
        <f t="shared" si="81"/>
        <v>Templater Cheat Sheet</v>
      </c>
      <c r="L2220" s="20" t="s">
        <v>175</v>
      </c>
      <c r="M2220" s="4"/>
      <c r="N2220" s="2" t="s">
        <v>133</v>
      </c>
      <c r="O2220" s="2"/>
      <c r="P2220" s="4">
        <v>1</v>
      </c>
      <c r="Q2220" s="2" t="s">
        <v>2107</v>
      </c>
      <c r="R2220" s="11">
        <f>SUBTOTAL(3,_xlfn.SINGLE(tbl_file[RowId]))</f>
        <v>1</v>
      </c>
    </row>
    <row r="2221" spans="10:18">
      <c r="J2221" s="4">
        <v>102</v>
      </c>
      <c r="K2221" s="21" t="str">
        <f t="shared" si="81"/>
        <v>Templater Cheat Sheet</v>
      </c>
      <c r="L2221" s="20" t="s">
        <v>175</v>
      </c>
      <c r="M2221" s="4" t="s">
        <v>2626</v>
      </c>
      <c r="N2221" s="2" t="s">
        <v>2606</v>
      </c>
      <c r="O2221" s="2"/>
      <c r="P2221" s="4">
        <v>19</v>
      </c>
      <c r="Q2221" s="2" t="s">
        <v>2631</v>
      </c>
      <c r="R2221" s="11">
        <f>SUBTOTAL(3,_xlfn.SINGLE(tbl_file[RowId]))</f>
        <v>1</v>
      </c>
    </row>
    <row r="2222" spans="10:18">
      <c r="J2222" s="4">
        <v>1228</v>
      </c>
      <c r="K2222" s="21" t="str">
        <f t="shared" ref="K2222:K2228" si="82">HYPERLINK("obsidian://open?vault=o2&amp;file=Terminal%20Color%20Escape%20Sequences.md","Terminal Color Escape Sequences")</f>
        <v>Terminal Color Escape Sequences</v>
      </c>
      <c r="L2222" s="20" t="s">
        <v>175</v>
      </c>
      <c r="M2222" s="4"/>
      <c r="N2222" s="2" t="s">
        <v>127</v>
      </c>
      <c r="O2222" s="2"/>
      <c r="P2222" s="4">
        <v>1</v>
      </c>
      <c r="Q2222" s="2" t="s">
        <v>1968</v>
      </c>
      <c r="R2222" s="11">
        <f>SUBTOTAL(3,_xlfn.SINGLE(tbl_file[RowId]))</f>
        <v>1</v>
      </c>
    </row>
    <row r="2223" spans="10:18">
      <c r="J2223" s="4">
        <v>1229</v>
      </c>
      <c r="K2223" s="21" t="str">
        <f t="shared" si="82"/>
        <v>Terminal Color Escape Sequences</v>
      </c>
      <c r="L2223" s="20" t="s">
        <v>175</v>
      </c>
      <c r="M2223" s="4"/>
      <c r="N2223" s="2" t="s">
        <v>2606</v>
      </c>
      <c r="O2223" s="2"/>
      <c r="P2223" s="4">
        <v>3</v>
      </c>
      <c r="Q2223" s="2" t="s">
        <v>3005</v>
      </c>
      <c r="R2223" s="11">
        <f>SUBTOTAL(3,_xlfn.SINGLE(tbl_file[RowId]))</f>
        <v>1</v>
      </c>
    </row>
    <row r="2224" spans="10:18">
      <c r="J2224" s="4">
        <v>1230</v>
      </c>
      <c r="K2224" s="21" t="str">
        <f t="shared" si="82"/>
        <v>Terminal Color Escape Sequences</v>
      </c>
      <c r="L2224" s="20" t="s">
        <v>175</v>
      </c>
      <c r="M2224" s="4"/>
      <c r="N2224" s="2" t="s">
        <v>133</v>
      </c>
      <c r="O2224" s="2"/>
      <c r="P2224" s="4">
        <v>1</v>
      </c>
      <c r="Q2224" s="2" t="s">
        <v>2693</v>
      </c>
      <c r="R2224" s="11">
        <f>SUBTOTAL(3,_xlfn.SINGLE(tbl_file[RowId]))</f>
        <v>1</v>
      </c>
    </row>
    <row r="2225" spans="10:18">
      <c r="J2225" s="4">
        <v>1260</v>
      </c>
      <c r="K2225" s="21" t="str">
        <f t="shared" si="82"/>
        <v>Terminal Color Escape Sequences</v>
      </c>
      <c r="L2225" s="20" t="s">
        <v>175</v>
      </c>
      <c r="M2225" s="4"/>
      <c r="N2225" s="2" t="s">
        <v>127</v>
      </c>
      <c r="O2225" s="2"/>
      <c r="P2225" s="4">
        <v>1</v>
      </c>
      <c r="Q2225" s="2" t="s">
        <v>1968</v>
      </c>
      <c r="R2225" s="11">
        <f>SUBTOTAL(3,_xlfn.SINGLE(tbl_file[RowId]))</f>
        <v>1</v>
      </c>
    </row>
    <row r="2226" spans="10:18">
      <c r="J2226" s="4">
        <v>1261</v>
      </c>
      <c r="K2226" s="21" t="str">
        <f t="shared" si="82"/>
        <v>Terminal Color Escape Sequences</v>
      </c>
      <c r="L2226" s="20" t="s">
        <v>175</v>
      </c>
      <c r="M2226" s="4"/>
      <c r="N2226" s="2" t="s">
        <v>2606</v>
      </c>
      <c r="O2226" s="2"/>
      <c r="P2226" s="4">
        <v>3</v>
      </c>
      <c r="Q2226" s="2" t="s">
        <v>3005</v>
      </c>
      <c r="R2226" s="11">
        <f>SUBTOTAL(3,_xlfn.SINGLE(tbl_file[RowId]))</f>
        <v>1</v>
      </c>
    </row>
    <row r="2227" spans="10:18">
      <c r="J2227" s="4">
        <v>1262</v>
      </c>
      <c r="K2227" s="21" t="str">
        <f t="shared" si="82"/>
        <v>Terminal Color Escape Sequences</v>
      </c>
      <c r="L2227" s="20" t="s">
        <v>175</v>
      </c>
      <c r="M2227" s="4"/>
      <c r="N2227" s="2" t="s">
        <v>133</v>
      </c>
      <c r="O2227" s="2"/>
      <c r="P2227" s="4">
        <v>1</v>
      </c>
      <c r="Q2227" s="2" t="s">
        <v>2693</v>
      </c>
      <c r="R2227" s="11">
        <f>SUBTOTAL(3,_xlfn.SINGLE(tbl_file[RowId]))</f>
        <v>1</v>
      </c>
    </row>
    <row r="2228" spans="10:18">
      <c r="J2228" s="4">
        <v>1263</v>
      </c>
      <c r="K2228" s="21" t="str">
        <f t="shared" si="82"/>
        <v>Terminal Color Escape Sequences</v>
      </c>
      <c r="L2228" s="20" t="s">
        <v>175</v>
      </c>
      <c r="M2228" s="4" t="s">
        <v>2626</v>
      </c>
      <c r="N2228" s="2" t="s">
        <v>2606</v>
      </c>
      <c r="O2228" s="2"/>
      <c r="P2228" s="4">
        <v>2</v>
      </c>
      <c r="Q2228" s="2" t="s">
        <v>3010</v>
      </c>
      <c r="R2228" s="11">
        <f>SUBTOTAL(3,_xlfn.SINGLE(tbl_file[RowId]))</f>
        <v>1</v>
      </c>
    </row>
    <row r="2229" spans="10:18">
      <c r="J2229" s="4">
        <v>2439</v>
      </c>
      <c r="K2229" s="21" t="str">
        <f>HYPERLINK("obsidian://open?vault=o2&amp;file=testing%20gevents%20offset.md","testing gevents offset")</f>
        <v>testing gevents offset</v>
      </c>
      <c r="L2229" s="20" t="s">
        <v>175</v>
      </c>
      <c r="M2229" s="4"/>
      <c r="N2229" s="2" t="s">
        <v>50</v>
      </c>
      <c r="O2229" s="2"/>
      <c r="P2229" s="4">
        <v>1</v>
      </c>
      <c r="Q2229" s="2" t="s">
        <v>1566</v>
      </c>
      <c r="R2229" s="11">
        <f>SUBTOTAL(3,_xlfn.SINGLE(tbl_file[RowId]))</f>
        <v>1</v>
      </c>
    </row>
    <row r="2230" spans="10:18">
      <c r="J2230" s="4">
        <v>2440</v>
      </c>
      <c r="K2230" s="21" t="str">
        <f>HYPERLINK("obsidian://open?vault=o2&amp;file=testing%20gevents%20offset.md","testing gevents offset")</f>
        <v>testing gevents offset</v>
      </c>
      <c r="L2230" s="20" t="s">
        <v>175</v>
      </c>
      <c r="M2230" s="4"/>
      <c r="N2230" s="2" t="s">
        <v>118</v>
      </c>
      <c r="O2230" s="2"/>
      <c r="P2230" s="4">
        <v>1</v>
      </c>
      <c r="Q2230" s="2" t="s">
        <v>1641</v>
      </c>
      <c r="R2230" s="11">
        <f>SUBTOTAL(3,_xlfn.SINGLE(tbl_file[RowId]))</f>
        <v>1</v>
      </c>
    </row>
    <row r="2231" spans="10:18">
      <c r="J2231" s="4">
        <v>2441</v>
      </c>
      <c r="K2231" s="21" t="str">
        <f>HYPERLINK("obsidian://open?vault=o2&amp;file=testing%20gevents%20offset.md","testing gevents offset")</f>
        <v>testing gevents offset</v>
      </c>
      <c r="L2231" s="20" t="s">
        <v>175</v>
      </c>
      <c r="M2231" s="4"/>
      <c r="N2231" s="2" t="s">
        <v>123</v>
      </c>
      <c r="O2231" s="2"/>
      <c r="P2231" s="4">
        <v>1</v>
      </c>
      <c r="Q2231" s="2" t="s">
        <v>1564</v>
      </c>
      <c r="R2231" s="11">
        <f>SUBTOTAL(3,_xlfn.SINGLE(tbl_file[RowId]))</f>
        <v>1</v>
      </c>
    </row>
    <row r="2232" spans="10:18">
      <c r="J2232" s="4">
        <v>2442</v>
      </c>
      <c r="K2232" s="21" t="str">
        <f>HYPERLINK("obsidian://open?vault=o2&amp;file=testing%20gevents%20offset.md","testing gevents offset")</f>
        <v>testing gevents offset</v>
      </c>
      <c r="L2232" s="20" t="s">
        <v>175</v>
      </c>
      <c r="M2232" s="4"/>
      <c r="N2232" s="2" t="s">
        <v>2606</v>
      </c>
      <c r="O2232" s="2"/>
      <c r="P2232" s="4">
        <v>4</v>
      </c>
      <c r="Q2232" s="2" t="s">
        <v>3182</v>
      </c>
      <c r="R2232" s="11">
        <f>SUBTOTAL(3,_xlfn.SINGLE(tbl_file[RowId]))</f>
        <v>1</v>
      </c>
    </row>
    <row r="2233" spans="10:18">
      <c r="J2233" s="4">
        <v>2443</v>
      </c>
      <c r="K2233" s="21" t="str">
        <f>HYPERLINK("obsidian://open?vault=o2&amp;file=testing%20gevents%20offset.md","testing gevents offset")</f>
        <v>testing gevents offset</v>
      </c>
      <c r="L2233" s="20" t="s">
        <v>175</v>
      </c>
      <c r="M2233" s="4" t="s">
        <v>2626</v>
      </c>
      <c r="N2233" s="2" t="s">
        <v>3028</v>
      </c>
      <c r="O2233" s="2"/>
      <c r="P2233" s="4">
        <v>1</v>
      </c>
      <c r="Q2233" s="2" t="s">
        <v>2253</v>
      </c>
      <c r="R2233" s="11">
        <f>SUBTOTAL(3,_xlfn.SINGLE(tbl_file[RowId]))</f>
        <v>1</v>
      </c>
    </row>
    <row r="2234" spans="10:18">
      <c r="J2234" s="4">
        <v>2435</v>
      </c>
      <c r="K2234" s="21" t="str">
        <f>HYPERLINK("obsidian://open?vault=o2&amp;file=testTasklist.md","testTasklist")</f>
        <v>testTasklist</v>
      </c>
      <c r="L2234" s="20" t="s">
        <v>175</v>
      </c>
      <c r="M2234" s="4"/>
      <c r="N2234" s="2" t="s">
        <v>50</v>
      </c>
      <c r="O2234" s="2"/>
      <c r="P2234" s="4">
        <v>1</v>
      </c>
      <c r="Q2234" s="2" t="s">
        <v>1530</v>
      </c>
      <c r="R2234" s="11">
        <f>SUBTOTAL(3,_xlfn.SINGLE(tbl_file[RowId]))</f>
        <v>1</v>
      </c>
    </row>
    <row r="2235" spans="10:18">
      <c r="J2235" s="4">
        <v>2436</v>
      </c>
      <c r="K2235" s="21" t="str">
        <f>HYPERLINK("obsidian://open?vault=o2&amp;file=testTasklist.md","testTasklist")</f>
        <v>testTasklist</v>
      </c>
      <c r="L2235" s="20" t="s">
        <v>175</v>
      </c>
      <c r="M2235" s="4"/>
      <c r="N2235" s="2" t="s">
        <v>127</v>
      </c>
      <c r="O2235" s="2"/>
      <c r="P2235" s="4">
        <v>1</v>
      </c>
      <c r="Q2235" s="2" t="s">
        <v>1958</v>
      </c>
      <c r="R2235" s="11">
        <f>SUBTOTAL(3,_xlfn.SINGLE(tbl_file[RowId]))</f>
        <v>1</v>
      </c>
    </row>
    <row r="2236" spans="10:18">
      <c r="J2236" s="4">
        <v>2437</v>
      </c>
      <c r="K2236" s="21" t="str">
        <f>HYPERLINK("obsidian://open?vault=o2&amp;file=testTasklist.md","testTasklist")</f>
        <v>testTasklist</v>
      </c>
      <c r="L2236" s="20" t="s">
        <v>175</v>
      </c>
      <c r="M2236" s="4"/>
      <c r="N2236" s="2" t="s">
        <v>2606</v>
      </c>
      <c r="O2236" s="2"/>
      <c r="P2236" s="4">
        <v>4</v>
      </c>
      <c r="Q2236" s="2" t="s">
        <v>2642</v>
      </c>
      <c r="R2236" s="11">
        <f>SUBTOTAL(3,_xlfn.SINGLE(tbl_file[RowId]))</f>
        <v>1</v>
      </c>
    </row>
    <row r="2237" spans="10:18">
      <c r="J2237" s="4">
        <v>2438</v>
      </c>
      <c r="K2237" s="21" t="str">
        <f>HYPERLINK("obsidian://open?vault=o2&amp;file=testTasklist.md","testTasklist")</f>
        <v>testTasklist</v>
      </c>
      <c r="L2237" s="20" t="s">
        <v>175</v>
      </c>
      <c r="M2237" s="4"/>
      <c r="N2237" s="2" t="s">
        <v>133</v>
      </c>
      <c r="O2237" s="2"/>
      <c r="P2237" s="4">
        <v>1</v>
      </c>
      <c r="Q2237" s="2" t="s">
        <v>2614</v>
      </c>
      <c r="R2237" s="11">
        <f>SUBTOTAL(3,_xlfn.SINGLE(tbl_file[RowId]))</f>
        <v>1</v>
      </c>
    </row>
    <row r="2238" spans="10:18">
      <c r="J2238" s="4">
        <v>2344</v>
      </c>
      <c r="K2238" s="21" t="str">
        <f>HYPERLINK("obsidian://open?vault=o2&amp;file=The%20ad%20haters%20guide%20to%20cord-cutting%20-%20TechHive.md","The ad haters guide to cord-cutting - TechHive")</f>
        <v>The ad haters guide to cord-cutting - TechHive</v>
      </c>
      <c r="L2238" s="20" t="s">
        <v>175</v>
      </c>
      <c r="M2238" s="4"/>
      <c r="N2238" s="2" t="s">
        <v>19</v>
      </c>
      <c r="O2238" s="2"/>
      <c r="P2238" s="4">
        <v>1</v>
      </c>
      <c r="Q2238" s="2" t="s">
        <v>385</v>
      </c>
      <c r="R2238" s="11">
        <f>SUBTOTAL(3,_xlfn.SINGLE(tbl_file[RowId]))</f>
        <v>1</v>
      </c>
    </row>
    <row r="2239" spans="10:18">
      <c r="J2239" s="4">
        <v>2345</v>
      </c>
      <c r="K2239" s="21" t="str">
        <f>HYPERLINK("obsidian://open?vault=o2&amp;file=The%20ad%20haters%20guide%20to%20cord-cutting%20-%20TechHive.md","The ad haters guide to cord-cutting - TechHive")</f>
        <v>The ad haters guide to cord-cutting - TechHive</v>
      </c>
      <c r="L2239" s="20" t="s">
        <v>175</v>
      </c>
      <c r="M2239" s="4"/>
      <c r="N2239" s="2" t="s">
        <v>48</v>
      </c>
      <c r="O2239" s="2"/>
      <c r="P2239" s="4">
        <v>4</v>
      </c>
      <c r="Q2239" s="2" t="s">
        <v>3162</v>
      </c>
      <c r="R2239" s="11">
        <f>SUBTOTAL(3,_xlfn.SINGLE(tbl_file[RowId]))</f>
        <v>1</v>
      </c>
    </row>
    <row r="2240" spans="10:18">
      <c r="J2240" s="4">
        <v>2346</v>
      </c>
      <c r="K2240" s="21" t="str">
        <f>HYPERLINK("obsidian://open?vault=o2&amp;file=The%20ad%20haters%20guide%20to%20cord-cutting%20-%20TechHive.md","The ad haters guide to cord-cutting - TechHive")</f>
        <v>The ad haters guide to cord-cutting - TechHive</v>
      </c>
      <c r="L2240" s="20" t="s">
        <v>175</v>
      </c>
      <c r="M2240" s="4"/>
      <c r="N2240" s="2" t="s">
        <v>125</v>
      </c>
      <c r="O2240" s="2"/>
      <c r="P2240" s="4">
        <v>1</v>
      </c>
      <c r="Q2240" s="2" t="s">
        <v>1905</v>
      </c>
      <c r="R2240" s="11">
        <f>SUBTOTAL(3,_xlfn.SINGLE(tbl_file[RowId]))</f>
        <v>1</v>
      </c>
    </row>
    <row r="2241" spans="10:18">
      <c r="J2241" s="4">
        <v>2347</v>
      </c>
      <c r="K2241" s="21" t="str">
        <f>HYPERLINK("obsidian://open?vault=o2&amp;file=The%20ad%20haters%20guide%20to%20cord-cutting%20-%20TechHive.md","The ad haters guide to cord-cutting - TechHive")</f>
        <v>The ad haters guide to cord-cutting - TechHive</v>
      </c>
      <c r="L2241" s="20" t="s">
        <v>175</v>
      </c>
      <c r="M2241" s="4"/>
      <c r="N2241" s="2" t="s">
        <v>2606</v>
      </c>
      <c r="O2241" s="2"/>
      <c r="P2241" s="4">
        <v>2</v>
      </c>
      <c r="Q2241" s="2" t="s">
        <v>3163</v>
      </c>
      <c r="R2241" s="11">
        <f>SUBTOTAL(3,_xlfn.SINGLE(tbl_file[RowId]))</f>
        <v>1</v>
      </c>
    </row>
    <row r="2242" spans="10:18">
      <c r="J2242" s="4">
        <v>1174</v>
      </c>
      <c r="K2242"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L2242" s="20" t="s">
        <v>175</v>
      </c>
      <c r="M2242" s="4"/>
      <c r="N2242" s="2" t="s">
        <v>133</v>
      </c>
      <c r="O2242" s="2"/>
      <c r="P2242" s="4">
        <v>1</v>
      </c>
      <c r="Q2242" s="2" t="s">
        <v>2693</v>
      </c>
      <c r="R2242" s="11">
        <f>SUBTOTAL(3,_xlfn.SINGLE(tbl_file[RowId]))</f>
        <v>1</v>
      </c>
    </row>
    <row r="2243" spans="10:18">
      <c r="J2243" s="4">
        <v>1175</v>
      </c>
      <c r="K2243"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L2243" s="20" t="s">
        <v>175</v>
      </c>
      <c r="M2243" s="4" t="s">
        <v>2626</v>
      </c>
      <c r="N2243" s="2" t="s">
        <v>2606</v>
      </c>
      <c r="O2243" s="2"/>
      <c r="P2243" s="4">
        <v>7</v>
      </c>
      <c r="Q2243" s="2" t="s">
        <v>2995</v>
      </c>
      <c r="R2243" s="11">
        <f>SUBTOTAL(3,_xlfn.SINGLE(tbl_file[RowId]))</f>
        <v>1</v>
      </c>
    </row>
    <row r="2244" spans="10:18">
      <c r="J2244" s="4">
        <v>530</v>
      </c>
      <c r="K2244" s="21" t="str">
        <f>HYPERLINK("obsidian://open?vault=o2&amp;file=The%20Best%20Dark%20Humor%20Jokes.md","The Best Dark Humor Jokes")</f>
        <v>The Best Dark Humor Jokes</v>
      </c>
      <c r="L2244" s="20" t="s">
        <v>175</v>
      </c>
      <c r="M2244" s="4"/>
      <c r="N2244" s="2" t="s">
        <v>50</v>
      </c>
      <c r="O2244" s="2"/>
      <c r="P2244" s="4">
        <v>1</v>
      </c>
      <c r="Q2244" s="2" t="s">
        <v>1664</v>
      </c>
      <c r="R2244" s="11">
        <f>SUBTOTAL(3,_xlfn.SINGLE(tbl_file[RowId]))</f>
        <v>1</v>
      </c>
    </row>
    <row r="2245" spans="10:18">
      <c r="J2245" s="4">
        <v>531</v>
      </c>
      <c r="K2245" s="21" t="str">
        <f>HYPERLINK("obsidian://open?vault=o2&amp;file=The%20Best%20Dark%20Humor%20Jokes.md","The Best Dark Humor Jokes")</f>
        <v>The Best Dark Humor Jokes</v>
      </c>
      <c r="L2245" s="20" t="s">
        <v>175</v>
      </c>
      <c r="M2245" s="4"/>
      <c r="N2245" s="2" t="s">
        <v>127</v>
      </c>
      <c r="O2245" s="2"/>
      <c r="P2245" s="4">
        <v>1</v>
      </c>
      <c r="Q2245" s="2" t="s">
        <v>1958</v>
      </c>
      <c r="R2245" s="11">
        <f>SUBTOTAL(3,_xlfn.SINGLE(tbl_file[RowId]))</f>
        <v>1</v>
      </c>
    </row>
    <row r="2246" spans="10:18">
      <c r="J2246" s="4">
        <v>532</v>
      </c>
      <c r="K2246" s="21" t="str">
        <f>HYPERLINK("obsidian://open?vault=o2&amp;file=The%20Best%20Dark%20Humor%20Jokes.md","The Best Dark Humor Jokes")</f>
        <v>The Best Dark Humor Jokes</v>
      </c>
      <c r="L2246" s="20" t="s">
        <v>175</v>
      </c>
      <c r="M2246" s="4"/>
      <c r="N2246" s="2" t="s">
        <v>2606</v>
      </c>
      <c r="O2246" s="2"/>
      <c r="P2246" s="4">
        <v>4</v>
      </c>
      <c r="Q2246" s="2" t="s">
        <v>2642</v>
      </c>
      <c r="R2246" s="11">
        <f>SUBTOTAL(3,_xlfn.SINGLE(tbl_file[RowId]))</f>
        <v>1</v>
      </c>
    </row>
    <row r="2247" spans="10:18">
      <c r="J2247" s="4">
        <v>533</v>
      </c>
      <c r="K2247" s="21" t="str">
        <f>HYPERLINK("obsidian://open?vault=o2&amp;file=The%20Best%20Dark%20Humor%20Jokes.md","The Best Dark Humor Jokes")</f>
        <v>The Best Dark Humor Jokes</v>
      </c>
      <c r="L2247" s="20" t="s">
        <v>175</v>
      </c>
      <c r="M2247" s="4"/>
      <c r="N2247" s="2" t="s">
        <v>133</v>
      </c>
      <c r="O2247" s="2"/>
      <c r="P2247" s="4">
        <v>1</v>
      </c>
      <c r="Q2247" s="2" t="s">
        <v>2614</v>
      </c>
      <c r="R2247" s="11">
        <f>SUBTOTAL(3,_xlfn.SINGLE(tbl_file[RowId]))</f>
        <v>1</v>
      </c>
    </row>
    <row r="2248" spans="10:18">
      <c r="J2248" s="4">
        <v>534</v>
      </c>
      <c r="K2248" s="21" t="str">
        <f>HYPERLINK("obsidian://open?vault=o2&amp;file=The%20Best%20Dirty%20Jokes-Pick-up%20Lines%20and%20Knock-Knocks.md","The Best Dirty Jokes-Pick-up Lines and Knock-Knocks")</f>
        <v>The Best Dirty Jokes-Pick-up Lines and Knock-Knocks</v>
      </c>
      <c r="L2248" s="20" t="s">
        <v>175</v>
      </c>
      <c r="M2248" s="4"/>
      <c r="N2248" s="2" t="s">
        <v>50</v>
      </c>
      <c r="O2248" s="2"/>
      <c r="P2248" s="4">
        <v>1</v>
      </c>
      <c r="Q2248" s="2" t="s">
        <v>1664</v>
      </c>
      <c r="R2248" s="11">
        <f>SUBTOTAL(3,_xlfn.SINGLE(tbl_file[RowId]))</f>
        <v>1</v>
      </c>
    </row>
    <row r="2249" spans="10:18">
      <c r="J2249" s="4">
        <v>535</v>
      </c>
      <c r="K2249" s="21" t="str">
        <f>HYPERLINK("obsidian://open?vault=o2&amp;file=The%20Best%20Dirty%20Jokes-Pick-up%20Lines%20and%20Knock-Knocks.md","The Best Dirty Jokes-Pick-up Lines and Knock-Knocks")</f>
        <v>The Best Dirty Jokes-Pick-up Lines and Knock-Knocks</v>
      </c>
      <c r="L2249" s="20" t="s">
        <v>175</v>
      </c>
      <c r="M2249" s="4"/>
      <c r="N2249" s="2" t="s">
        <v>127</v>
      </c>
      <c r="O2249" s="2"/>
      <c r="P2249" s="4">
        <v>1</v>
      </c>
      <c r="Q2249" s="2" t="s">
        <v>1958</v>
      </c>
      <c r="R2249" s="11">
        <f>SUBTOTAL(3,_xlfn.SINGLE(tbl_file[RowId]))</f>
        <v>1</v>
      </c>
    </row>
    <row r="2250" spans="10:18">
      <c r="J2250" s="4">
        <v>536</v>
      </c>
      <c r="K2250" s="21" t="str">
        <f>HYPERLINK("obsidian://open?vault=o2&amp;file=The%20Best%20Dirty%20Jokes-Pick-up%20Lines%20and%20Knock-Knocks.md","The Best Dirty Jokes-Pick-up Lines and Knock-Knocks")</f>
        <v>The Best Dirty Jokes-Pick-up Lines and Knock-Knocks</v>
      </c>
      <c r="L2250" s="20" t="s">
        <v>175</v>
      </c>
      <c r="M2250" s="4"/>
      <c r="N2250" s="2" t="s">
        <v>2606</v>
      </c>
      <c r="O2250" s="2"/>
      <c r="P2250" s="4">
        <v>4</v>
      </c>
      <c r="Q2250" s="2" t="s">
        <v>2642</v>
      </c>
      <c r="R2250" s="11">
        <f>SUBTOTAL(3,_xlfn.SINGLE(tbl_file[RowId]))</f>
        <v>1</v>
      </c>
    </row>
    <row r="2251" spans="10:18">
      <c r="J2251" s="4">
        <v>537</v>
      </c>
      <c r="K2251" s="21" t="str">
        <f>HYPERLINK("obsidian://open?vault=o2&amp;file=The%20Best%20Dirty%20Jokes-Pick-up%20Lines%20and%20Knock-Knocks.md","The Best Dirty Jokes-Pick-up Lines and Knock-Knocks")</f>
        <v>The Best Dirty Jokes-Pick-up Lines and Knock-Knocks</v>
      </c>
      <c r="L2251" s="20" t="s">
        <v>175</v>
      </c>
      <c r="M2251" s="4"/>
      <c r="N2251" s="2" t="s">
        <v>133</v>
      </c>
      <c r="O2251" s="2"/>
      <c r="P2251" s="4">
        <v>1</v>
      </c>
      <c r="Q2251" s="2" t="s">
        <v>2614</v>
      </c>
      <c r="R2251" s="11">
        <f>SUBTOTAL(3,_xlfn.SINGLE(tbl_file[RowId]))</f>
        <v>1</v>
      </c>
    </row>
    <row r="2252" spans="10:18">
      <c r="J2252" s="4">
        <v>1081</v>
      </c>
      <c r="K2252" s="21" t="str">
        <f>HYPERLINK("obsidian://open?vault=o2&amp;file=The%20Best%20Ways%20to%20Kill%20Ants%20Using%20Borax%20-%20wikiHow.md","The Best Ways to Kill Ants Using Borax - wikiHow")</f>
        <v>The Best Ways to Kill Ants Using Borax - wikiHow</v>
      </c>
      <c r="L2252" s="20" t="s">
        <v>175</v>
      </c>
      <c r="M2252" s="4"/>
      <c r="N2252" s="2" t="s">
        <v>13</v>
      </c>
      <c r="O2252" s="2"/>
      <c r="P2252" s="4">
        <v>1</v>
      </c>
      <c r="Q2252" s="2" t="s">
        <v>312</v>
      </c>
      <c r="R2252" s="11">
        <f>SUBTOTAL(3,_xlfn.SINGLE(tbl_file[RowId]))</f>
        <v>1</v>
      </c>
    </row>
    <row r="2253" spans="10:18">
      <c r="J2253" s="4">
        <v>1082</v>
      </c>
      <c r="K2253" s="21" t="str">
        <f>HYPERLINK("obsidian://open?vault=o2&amp;file=The%20Best%20Ways%20to%20Kill%20Ants%20Using%20Borax%20-%20wikiHow.md","The Best Ways to Kill Ants Using Borax - wikiHow")</f>
        <v>The Best Ways to Kill Ants Using Borax - wikiHow</v>
      </c>
      <c r="L2253" s="20" t="s">
        <v>175</v>
      </c>
      <c r="M2253" s="4"/>
      <c r="N2253" s="2" t="s">
        <v>19</v>
      </c>
      <c r="O2253" s="2"/>
      <c r="P2253" s="4">
        <v>1</v>
      </c>
      <c r="Q2253" s="2" t="s">
        <v>410</v>
      </c>
      <c r="R2253" s="11">
        <f>SUBTOTAL(3,_xlfn.SINGLE(tbl_file[RowId]))</f>
        <v>1</v>
      </c>
    </row>
    <row r="2254" spans="10:18">
      <c r="J2254" s="4">
        <v>1083</v>
      </c>
      <c r="K2254" s="21" t="str">
        <f>HYPERLINK("obsidian://open?vault=o2&amp;file=The%20Best%20Ways%20to%20Kill%20Ants%20Using%20Borax%20-%20wikiHow.md","The Best Ways to Kill Ants Using Borax - wikiHow")</f>
        <v>The Best Ways to Kill Ants Using Borax - wikiHow</v>
      </c>
      <c r="L2254" s="20" t="s">
        <v>175</v>
      </c>
      <c r="M2254" s="4"/>
      <c r="N2254" s="2" t="s">
        <v>125</v>
      </c>
      <c r="O2254" s="2"/>
      <c r="P2254" s="4">
        <v>1</v>
      </c>
      <c r="Q2254" s="2" t="s">
        <v>1909</v>
      </c>
      <c r="R2254" s="11">
        <f>SUBTOTAL(3,_xlfn.SINGLE(tbl_file[RowId]))</f>
        <v>1</v>
      </c>
    </row>
    <row r="2255" spans="10:18">
      <c r="J2255" s="4">
        <v>1084</v>
      </c>
      <c r="K2255" s="21" t="str">
        <f>HYPERLINK("obsidian://open?vault=o2&amp;file=The%20Best%20Ways%20to%20Kill%20Ants%20Using%20Borax%20-%20wikiHow.md","The Best Ways to Kill Ants Using Borax - wikiHow")</f>
        <v>The Best Ways to Kill Ants Using Borax - wikiHow</v>
      </c>
      <c r="L2255" s="20" t="s">
        <v>175</v>
      </c>
      <c r="M2255" s="4"/>
      <c r="N2255" s="2" t="s">
        <v>2606</v>
      </c>
      <c r="O2255" s="2"/>
      <c r="P2255" s="4">
        <v>1</v>
      </c>
      <c r="Q2255" s="2" t="s">
        <v>2537</v>
      </c>
      <c r="R2255" s="11">
        <f>SUBTOTAL(3,_xlfn.SINGLE(tbl_file[RowId]))</f>
        <v>1</v>
      </c>
    </row>
    <row r="2256" spans="10:18">
      <c r="J2256" s="4">
        <v>2332</v>
      </c>
      <c r="K2256" s="21" t="str">
        <f>HYPERLINK("obsidian://open?vault=o2&amp;file=The%20Debian%20Series-users%20and%20groups%20management.md","The Debian Series-users and groups management")</f>
        <v>The Debian Series-users and groups management</v>
      </c>
      <c r="L2256" s="20" t="s">
        <v>175</v>
      </c>
      <c r="M2256" s="4"/>
      <c r="N2256" s="2" t="s">
        <v>50</v>
      </c>
      <c r="O2256" s="2"/>
      <c r="P2256" s="4">
        <v>1</v>
      </c>
      <c r="Q2256" s="2" t="s">
        <v>1568</v>
      </c>
      <c r="R2256" s="11">
        <f>SUBTOTAL(3,_xlfn.SINGLE(tbl_file[RowId]))</f>
        <v>1</v>
      </c>
    </row>
    <row r="2257" spans="10:18">
      <c r="J2257" s="4">
        <v>2333</v>
      </c>
      <c r="K2257" s="21" t="str">
        <f>HYPERLINK("obsidian://open?vault=o2&amp;file=The%20Debian%20Series-users%20and%20groups%20management.md","The Debian Series-users and groups management")</f>
        <v>The Debian Series-users and groups management</v>
      </c>
      <c r="L2257" s="20" t="s">
        <v>175</v>
      </c>
      <c r="M2257" s="4"/>
      <c r="N2257" s="2" t="s">
        <v>127</v>
      </c>
      <c r="O2257" s="2"/>
      <c r="P2257" s="4">
        <v>1</v>
      </c>
      <c r="Q2257" s="2" t="s">
        <v>1970</v>
      </c>
      <c r="R2257" s="11">
        <f>SUBTOTAL(3,_xlfn.SINGLE(tbl_file[RowId]))</f>
        <v>1</v>
      </c>
    </row>
    <row r="2258" spans="10:18">
      <c r="J2258" s="4">
        <v>2334</v>
      </c>
      <c r="K2258" s="21" t="str">
        <f>HYPERLINK("obsidian://open?vault=o2&amp;file=The%20Debian%20Series-users%20and%20groups%20management.md","The Debian Series-users and groups management")</f>
        <v>The Debian Series-users and groups management</v>
      </c>
      <c r="L2258" s="20" t="s">
        <v>175</v>
      </c>
      <c r="M2258" s="4"/>
      <c r="N2258" s="2" t="s">
        <v>2606</v>
      </c>
      <c r="O2258" s="2"/>
      <c r="P2258" s="4">
        <v>1</v>
      </c>
      <c r="Q2258" s="2" t="s">
        <v>2372</v>
      </c>
      <c r="R2258" s="11">
        <f>SUBTOTAL(3,_xlfn.SINGLE(tbl_file[RowId]))</f>
        <v>1</v>
      </c>
    </row>
    <row r="2259" spans="10:18">
      <c r="J2259" s="4">
        <v>2335</v>
      </c>
      <c r="K2259" s="21" t="str">
        <f>HYPERLINK("obsidian://open?vault=o2&amp;file=The%20Debian%20Series-users%20and%20groups%20management.md","The Debian Series-users and groups management")</f>
        <v>The Debian Series-users and groups management</v>
      </c>
      <c r="L2259" s="20" t="s">
        <v>175</v>
      </c>
      <c r="M2259" s="4"/>
      <c r="N2259" s="2" t="s">
        <v>133</v>
      </c>
      <c r="O2259" s="2"/>
      <c r="P2259" s="4">
        <v>1</v>
      </c>
      <c r="Q2259" s="2" t="s">
        <v>2107</v>
      </c>
      <c r="R2259" s="11">
        <f>SUBTOTAL(3,_xlfn.SINGLE(tbl_file[RowId]))</f>
        <v>1</v>
      </c>
    </row>
    <row r="2260" spans="10:18">
      <c r="J2260" s="4">
        <v>2336</v>
      </c>
      <c r="K2260" s="21" t="str">
        <f t="shared" ref="K2260:K2267" si="83">HYPERLINK("obsidian://open?vault=o2&amp;file=The%20Food%20Expiration%20Dates%20You%20Should%20Actually%20Follow.md","The Food Expiration Dates You Should Actually Follow")</f>
        <v>The Food Expiration Dates You Should Actually Follow</v>
      </c>
      <c r="L2260" s="20" t="s">
        <v>175</v>
      </c>
      <c r="M2260" s="4"/>
      <c r="N2260" s="2" t="s">
        <v>33</v>
      </c>
      <c r="O2260" s="2"/>
      <c r="P2260" s="4">
        <v>1</v>
      </c>
      <c r="Q2260" s="2" t="s">
        <v>463</v>
      </c>
      <c r="R2260" s="11">
        <f>SUBTOTAL(3,_xlfn.SINGLE(tbl_file[RowId]))</f>
        <v>1</v>
      </c>
    </row>
    <row r="2261" spans="10:18">
      <c r="J2261" s="4">
        <v>2337</v>
      </c>
      <c r="K2261" s="21" t="str">
        <f t="shared" si="83"/>
        <v>The Food Expiration Dates You Should Actually Follow</v>
      </c>
      <c r="L2261" s="20" t="s">
        <v>175</v>
      </c>
      <c r="M2261" s="4"/>
      <c r="N2261" s="2" t="s">
        <v>37</v>
      </c>
      <c r="O2261" s="2"/>
      <c r="P2261" s="4">
        <v>1</v>
      </c>
      <c r="Q2261" s="2" t="s">
        <v>587</v>
      </c>
      <c r="R2261" s="11">
        <f>SUBTOTAL(3,_xlfn.SINGLE(tbl_file[RowId]))</f>
        <v>1</v>
      </c>
    </row>
    <row r="2262" spans="10:18">
      <c r="J2262" s="4">
        <v>2338</v>
      </c>
      <c r="K2262" s="21" t="str">
        <f t="shared" si="83"/>
        <v>The Food Expiration Dates You Should Actually Follow</v>
      </c>
      <c r="L2262" s="20" t="s">
        <v>175</v>
      </c>
      <c r="M2262" s="4"/>
      <c r="N2262" s="2" t="s">
        <v>46</v>
      </c>
      <c r="O2262" s="2"/>
      <c r="P2262" s="4">
        <v>1</v>
      </c>
      <c r="Q2262" s="2" t="s">
        <v>635</v>
      </c>
      <c r="R2262" s="11">
        <f>SUBTOTAL(3,_xlfn.SINGLE(tbl_file[RowId]))</f>
        <v>1</v>
      </c>
    </row>
    <row r="2263" spans="10:18">
      <c r="J2263" s="4">
        <v>2339</v>
      </c>
      <c r="K2263" s="21" t="str">
        <f t="shared" si="83"/>
        <v>The Food Expiration Dates You Should Actually Follow</v>
      </c>
      <c r="L2263" s="20" t="s">
        <v>175</v>
      </c>
      <c r="M2263" s="4"/>
      <c r="N2263" s="2" t="s">
        <v>48</v>
      </c>
      <c r="O2263" s="2"/>
      <c r="P2263" s="4">
        <v>7</v>
      </c>
      <c r="Q2263" s="2" t="s">
        <v>3160</v>
      </c>
      <c r="R2263" s="11">
        <f>SUBTOTAL(3,_xlfn.SINGLE(tbl_file[RowId]))</f>
        <v>1</v>
      </c>
    </row>
    <row r="2264" spans="10:18">
      <c r="J2264" s="4">
        <v>2340</v>
      </c>
      <c r="K2264" s="21" t="str">
        <f t="shared" si="83"/>
        <v>The Food Expiration Dates You Should Actually Follow</v>
      </c>
      <c r="L2264" s="20" t="s">
        <v>175</v>
      </c>
      <c r="M2264" s="4"/>
      <c r="N2264" s="2" t="s">
        <v>121</v>
      </c>
      <c r="O2264" s="2"/>
      <c r="P2264" s="4">
        <v>1</v>
      </c>
      <c r="Q2264" s="2" t="s">
        <v>1842</v>
      </c>
      <c r="R2264" s="11">
        <f>SUBTOTAL(3,_xlfn.SINGLE(tbl_file[RowId]))</f>
        <v>1</v>
      </c>
    </row>
    <row r="2265" spans="10:18">
      <c r="J2265" s="4">
        <v>2341</v>
      </c>
      <c r="K2265" s="21" t="str">
        <f t="shared" si="83"/>
        <v>The Food Expiration Dates You Should Actually Follow</v>
      </c>
      <c r="L2265" s="20" t="s">
        <v>175</v>
      </c>
      <c r="M2265" s="4"/>
      <c r="N2265" s="2" t="s">
        <v>2606</v>
      </c>
      <c r="O2265" s="2"/>
      <c r="P2265" s="4">
        <v>2</v>
      </c>
      <c r="Q2265" s="2" t="s">
        <v>3161</v>
      </c>
      <c r="R2265" s="11">
        <f>SUBTOTAL(3,_xlfn.SINGLE(tbl_file[RowId]))</f>
        <v>1</v>
      </c>
    </row>
    <row r="2266" spans="10:18">
      <c r="J2266" s="4">
        <v>2342</v>
      </c>
      <c r="K2266" s="21" t="str">
        <f t="shared" si="83"/>
        <v>The Food Expiration Dates You Should Actually Follow</v>
      </c>
      <c r="L2266" s="20" t="s">
        <v>175</v>
      </c>
      <c r="M2266" s="4"/>
      <c r="N2266" s="2" t="s">
        <v>132</v>
      </c>
      <c r="O2266" s="2"/>
      <c r="P2266" s="4">
        <v>1</v>
      </c>
      <c r="Q2266" s="2" t="s">
        <v>2082</v>
      </c>
      <c r="R2266" s="11">
        <f>SUBTOTAL(3,_xlfn.SINGLE(tbl_file[RowId]))</f>
        <v>1</v>
      </c>
    </row>
    <row r="2267" spans="10:18">
      <c r="J2267" s="4">
        <v>2343</v>
      </c>
      <c r="K2267" s="21" t="str">
        <f t="shared" si="83"/>
        <v>The Food Expiration Dates You Should Actually Follow</v>
      </c>
      <c r="L2267" s="20" t="s">
        <v>175</v>
      </c>
      <c r="M2267" s="4"/>
      <c r="N2267" s="2" t="s">
        <v>137</v>
      </c>
      <c r="O2267" s="2"/>
      <c r="P2267" s="4">
        <v>1</v>
      </c>
      <c r="Q2267" s="2" t="s">
        <v>2201</v>
      </c>
      <c r="R2267" s="11">
        <f>SUBTOTAL(3,_xlfn.SINGLE(tbl_file[RowId]))</f>
        <v>1</v>
      </c>
    </row>
    <row r="2268" spans="10:18">
      <c r="J2268" s="4">
        <v>385</v>
      </c>
      <c r="K2268" s="21" t="str">
        <f>HYPERLINK("obsidian://open?vault=o2&amp;file=The%20Four%20Truths%20of%20Buddhism.md","The Four Truths of Buddhism")</f>
        <v>The Four Truths of Buddhism</v>
      </c>
      <c r="L2268" s="20" t="s">
        <v>175</v>
      </c>
      <c r="M2268" s="4"/>
      <c r="N2268" s="2" t="s">
        <v>127</v>
      </c>
      <c r="O2268" s="2"/>
      <c r="P2268" s="4">
        <v>1</v>
      </c>
      <c r="Q2268" s="2" t="s">
        <v>1960</v>
      </c>
      <c r="R2268" s="11">
        <f>SUBTOTAL(3,_xlfn.SINGLE(tbl_file[RowId]))</f>
        <v>1</v>
      </c>
    </row>
    <row r="2269" spans="10:18">
      <c r="J2269" s="4">
        <v>386</v>
      </c>
      <c r="K2269" s="21" t="str">
        <f>HYPERLINK("obsidian://open?vault=o2&amp;file=The%20Four%20Truths%20of%20Buddhism.md","The Four Truths of Buddhism")</f>
        <v>The Four Truths of Buddhism</v>
      </c>
      <c r="L2269" s="20" t="s">
        <v>175</v>
      </c>
      <c r="M2269" s="4"/>
      <c r="N2269" s="2" t="s">
        <v>133</v>
      </c>
      <c r="O2269" s="2"/>
      <c r="P2269" s="4">
        <v>1</v>
      </c>
      <c r="Q2269" s="2" t="s">
        <v>2111</v>
      </c>
      <c r="R2269" s="11">
        <f>SUBTOTAL(3,_xlfn.SINGLE(tbl_file[RowId]))</f>
        <v>1</v>
      </c>
    </row>
    <row r="2270" spans="10:18">
      <c r="J2270" s="4">
        <v>1050</v>
      </c>
      <c r="K2270" s="21" t="str">
        <f t="shared" ref="K2270:K2276" si="84">HYPERLINK("obsidian://open?vault=o2&amp;file=The%20Growing%20Link%20Between%20Microbes%2C%20Mood%20and%20Mental%20Health.md","The Growing Link Between Microbes, Mood and Mental Health")</f>
        <v>The Growing Link Between Microbes, Mood and Mental Health</v>
      </c>
      <c r="L2270" s="20" t="s">
        <v>175</v>
      </c>
      <c r="M2270" s="4"/>
      <c r="N2270" s="2" t="s">
        <v>33</v>
      </c>
      <c r="O2270" s="2"/>
      <c r="P2270" s="4">
        <v>1</v>
      </c>
      <c r="Q2270" s="2" t="s">
        <v>495</v>
      </c>
      <c r="R2270" s="11">
        <f>SUBTOTAL(3,_xlfn.SINGLE(tbl_file[RowId]))</f>
        <v>1</v>
      </c>
    </row>
    <row r="2271" spans="10:18">
      <c r="J2271" s="4">
        <v>1051</v>
      </c>
      <c r="K2271" s="21" t="str">
        <f t="shared" si="84"/>
        <v>The Growing Link Between Microbes, Mood and Mental Health</v>
      </c>
      <c r="L2271" s="20" t="s">
        <v>175</v>
      </c>
      <c r="M2271" s="4"/>
      <c r="N2271" s="2" t="s">
        <v>46</v>
      </c>
      <c r="O2271" s="2"/>
      <c r="P2271" s="4">
        <v>1</v>
      </c>
      <c r="Q2271" s="2" t="s">
        <v>663</v>
      </c>
      <c r="R2271" s="11">
        <f>SUBTOTAL(3,_xlfn.SINGLE(tbl_file[RowId]))</f>
        <v>1</v>
      </c>
    </row>
    <row r="2272" spans="10:18">
      <c r="J2272" s="4">
        <v>1052</v>
      </c>
      <c r="K2272" s="21" t="str">
        <f t="shared" si="84"/>
        <v>The Growing Link Between Microbes, Mood and Mental Health</v>
      </c>
      <c r="L2272" s="20" t="s">
        <v>175</v>
      </c>
      <c r="M2272" s="4"/>
      <c r="N2272" s="2" t="s">
        <v>50</v>
      </c>
      <c r="O2272" s="2"/>
      <c r="P2272" s="4">
        <v>1</v>
      </c>
      <c r="Q2272" s="2" t="s">
        <v>1690</v>
      </c>
      <c r="R2272" s="11">
        <f>SUBTOTAL(3,_xlfn.SINGLE(tbl_file[RowId]))</f>
        <v>1</v>
      </c>
    </row>
    <row r="2273" spans="10:18">
      <c r="J2273" s="4">
        <v>1053</v>
      </c>
      <c r="K2273" s="21" t="str">
        <f t="shared" si="84"/>
        <v>The Growing Link Between Microbes, Mood and Mental Health</v>
      </c>
      <c r="L2273" s="20" t="s">
        <v>175</v>
      </c>
      <c r="M2273" s="4"/>
      <c r="N2273" s="2" t="s">
        <v>121</v>
      </c>
      <c r="O2273" s="2"/>
      <c r="P2273" s="4">
        <v>1</v>
      </c>
      <c r="Q2273" s="2" t="s">
        <v>1842</v>
      </c>
      <c r="R2273" s="11">
        <f>SUBTOTAL(3,_xlfn.SINGLE(tbl_file[RowId]))</f>
        <v>1</v>
      </c>
    </row>
    <row r="2274" spans="10:18">
      <c r="J2274" s="4">
        <v>1054</v>
      </c>
      <c r="K2274" s="21" t="str">
        <f t="shared" si="84"/>
        <v>The Growing Link Between Microbes, Mood and Mental Health</v>
      </c>
      <c r="L2274" s="20" t="s">
        <v>175</v>
      </c>
      <c r="M2274" s="4"/>
      <c r="N2274" s="2" t="s">
        <v>2606</v>
      </c>
      <c r="O2274" s="2"/>
      <c r="P2274" s="4">
        <v>1</v>
      </c>
      <c r="Q2274" s="2" t="s">
        <v>2537</v>
      </c>
      <c r="R2274" s="11">
        <f>SUBTOTAL(3,_xlfn.SINGLE(tbl_file[RowId]))</f>
        <v>1</v>
      </c>
    </row>
    <row r="2275" spans="10:18">
      <c r="J2275" s="4">
        <v>1055</v>
      </c>
      <c r="K2275" s="21" t="str">
        <f t="shared" si="84"/>
        <v>The Growing Link Between Microbes, Mood and Mental Health</v>
      </c>
      <c r="L2275" s="20" t="s">
        <v>175</v>
      </c>
      <c r="M2275" s="4"/>
      <c r="N2275" s="2" t="s">
        <v>132</v>
      </c>
      <c r="O2275" s="2"/>
      <c r="P2275" s="4">
        <v>1</v>
      </c>
      <c r="Q2275" s="2" t="s">
        <v>2084</v>
      </c>
      <c r="R2275" s="11">
        <f>SUBTOTAL(3,_xlfn.SINGLE(tbl_file[RowId]))</f>
        <v>1</v>
      </c>
    </row>
    <row r="2276" spans="10:18">
      <c r="J2276" s="4">
        <v>1056</v>
      </c>
      <c r="K2276" s="21" t="str">
        <f t="shared" si="84"/>
        <v>The Growing Link Between Microbes, Mood and Mental Health</v>
      </c>
      <c r="L2276" s="20" t="s">
        <v>175</v>
      </c>
      <c r="M2276" s="4"/>
      <c r="N2276" s="2" t="s">
        <v>137</v>
      </c>
      <c r="O2276" s="2"/>
      <c r="P2276" s="4">
        <v>1</v>
      </c>
      <c r="Q2276" s="2" t="s">
        <v>2161</v>
      </c>
      <c r="R2276" s="11">
        <f>SUBTOTAL(3,_xlfn.SINGLE(tbl_file[RowId]))</f>
        <v>1</v>
      </c>
    </row>
    <row r="2277" spans="10:18">
      <c r="J2277" s="4">
        <v>680</v>
      </c>
      <c r="K2277" s="21" t="str">
        <f t="shared" ref="K2277:K2290" si="85">HYPERLINK("obsidian://open?vault=o2&amp;file=The%20Perfect%20Diane%20Sauce%20-%20Chicken%20Diane%20%20Chef%20Jean-Pierre.md","The Perfect Diane Sauce - Chicken Diane  Chef Jean-Pierre")</f>
        <v>The Perfect Diane Sauce - Chicken Diane  Chef Jean-Pierre</v>
      </c>
      <c r="L2277" s="20" t="s">
        <v>175</v>
      </c>
      <c r="M2277" s="4"/>
      <c r="N2277" s="2" t="s">
        <v>11</v>
      </c>
      <c r="O2277" s="2"/>
      <c r="P2277" s="4">
        <v>1</v>
      </c>
      <c r="Q2277" s="2" t="s">
        <v>238</v>
      </c>
      <c r="R2277" s="11">
        <f>SUBTOTAL(3,_xlfn.SINGLE(tbl_file[RowId]))</f>
        <v>1</v>
      </c>
    </row>
    <row r="2278" spans="10:18">
      <c r="J2278" s="4">
        <v>681</v>
      </c>
      <c r="K2278" s="21" t="str">
        <f t="shared" si="85"/>
        <v>The Perfect Diane Sauce - Chicken Diane  Chef Jean-Pierre</v>
      </c>
      <c r="L2278" s="20" t="s">
        <v>175</v>
      </c>
      <c r="M2278" s="4"/>
      <c r="N2278" s="2" t="s">
        <v>13</v>
      </c>
      <c r="O2278" s="2"/>
      <c r="P2278" s="4">
        <v>1</v>
      </c>
      <c r="Q2278" s="2" t="s">
        <v>286</v>
      </c>
      <c r="R2278" s="11">
        <f>SUBTOTAL(3,_xlfn.SINGLE(tbl_file[RowId]))</f>
        <v>1</v>
      </c>
    </row>
    <row r="2279" spans="10:18">
      <c r="J2279" s="4">
        <v>682</v>
      </c>
      <c r="K2279" s="21" t="str">
        <f t="shared" si="85"/>
        <v>The Perfect Diane Sauce - Chicken Diane  Chef Jean-Pierre</v>
      </c>
      <c r="L2279" s="20" t="s">
        <v>175</v>
      </c>
      <c r="M2279" s="4"/>
      <c r="N2279" s="2" t="s">
        <v>16</v>
      </c>
      <c r="O2279" s="2"/>
      <c r="P2279" s="4">
        <v>1</v>
      </c>
      <c r="Q2279" s="2" t="s">
        <v>286</v>
      </c>
      <c r="R2279" s="11">
        <f>SUBTOTAL(3,_xlfn.SINGLE(tbl_file[RowId]))</f>
        <v>1</v>
      </c>
    </row>
    <row r="2280" spans="10:18">
      <c r="J2280" s="4">
        <v>683</v>
      </c>
      <c r="K2280" s="21" t="str">
        <f t="shared" si="85"/>
        <v>The Perfect Diane Sauce - Chicken Diane  Chef Jean-Pierre</v>
      </c>
      <c r="L2280" s="20" t="s">
        <v>175</v>
      </c>
      <c r="M2280" s="4"/>
      <c r="N2280" s="2" t="s">
        <v>37</v>
      </c>
      <c r="O2280" s="2"/>
      <c r="P2280" s="4">
        <v>1</v>
      </c>
      <c r="Q2280" s="2" t="s">
        <v>569</v>
      </c>
      <c r="R2280" s="11">
        <f>SUBTOTAL(3,_xlfn.SINGLE(tbl_file[RowId]))</f>
        <v>1</v>
      </c>
    </row>
    <row r="2281" spans="10:18">
      <c r="J2281" s="4">
        <v>684</v>
      </c>
      <c r="K2281" s="21" t="str">
        <f t="shared" si="85"/>
        <v>The Perfect Diane Sauce - Chicken Diane  Chef Jean-Pierre</v>
      </c>
      <c r="L2281" s="20" t="s">
        <v>175</v>
      </c>
      <c r="M2281" s="4"/>
      <c r="N2281" s="2" t="s">
        <v>45</v>
      </c>
      <c r="O2281" s="2"/>
      <c r="P2281" s="4">
        <v>1</v>
      </c>
      <c r="Q2281" s="2" t="s">
        <v>612</v>
      </c>
      <c r="R2281" s="11">
        <f>SUBTOTAL(3,_xlfn.SINGLE(tbl_file[RowId]))</f>
        <v>1</v>
      </c>
    </row>
    <row r="2282" spans="10:18">
      <c r="J2282" s="4">
        <v>685</v>
      </c>
      <c r="K2282" s="21" t="str">
        <f t="shared" si="85"/>
        <v>The Perfect Diane Sauce - Chicken Diane  Chef Jean-Pierre</v>
      </c>
      <c r="L2282" s="20" t="s">
        <v>175</v>
      </c>
      <c r="M2282" s="4"/>
      <c r="N2282" s="2" t="s">
        <v>48</v>
      </c>
      <c r="O2282" s="2"/>
      <c r="P2282" s="4">
        <v>3</v>
      </c>
      <c r="Q2282" s="2" t="s">
        <v>2748</v>
      </c>
      <c r="R2282" s="11">
        <f>SUBTOTAL(3,_xlfn.SINGLE(tbl_file[RowId]))</f>
        <v>1</v>
      </c>
    </row>
    <row r="2283" spans="10:18">
      <c r="J2283" s="4">
        <v>686</v>
      </c>
      <c r="K2283" s="21" t="str">
        <f t="shared" si="85"/>
        <v>The Perfect Diane Sauce - Chicken Diane  Chef Jean-Pierre</v>
      </c>
      <c r="L2283" s="20" t="s">
        <v>175</v>
      </c>
      <c r="M2283" s="4"/>
      <c r="N2283" s="2" t="s">
        <v>50</v>
      </c>
      <c r="O2283" s="2"/>
      <c r="P2283" s="4">
        <v>2</v>
      </c>
      <c r="Q2283" s="2" t="s">
        <v>2749</v>
      </c>
      <c r="R2283" s="11">
        <f>SUBTOTAL(3,_xlfn.SINGLE(tbl_file[RowId]))</f>
        <v>1</v>
      </c>
    </row>
    <row r="2284" spans="10:18">
      <c r="J2284" s="4">
        <v>687</v>
      </c>
      <c r="K2284" s="21" t="str">
        <f t="shared" si="85"/>
        <v>The Perfect Diane Sauce - Chicken Diane  Chef Jean-Pierre</v>
      </c>
      <c r="L2284" s="20" t="s">
        <v>175</v>
      </c>
      <c r="M2284" s="4"/>
      <c r="N2284" s="2" t="s">
        <v>119</v>
      </c>
      <c r="O2284" s="2"/>
      <c r="P2284" s="4">
        <v>1</v>
      </c>
      <c r="Q2284" s="2" t="s">
        <v>2750</v>
      </c>
      <c r="R2284" s="11">
        <f>SUBTOTAL(3,_xlfn.SINGLE(tbl_file[RowId]))</f>
        <v>1</v>
      </c>
    </row>
    <row r="2285" spans="10:18">
      <c r="J2285" s="4">
        <v>688</v>
      </c>
      <c r="K2285" s="21" t="str">
        <f t="shared" si="85"/>
        <v>The Perfect Diane Sauce - Chicken Diane  Chef Jean-Pierre</v>
      </c>
      <c r="L2285" s="20" t="s">
        <v>175</v>
      </c>
      <c r="M2285" s="4"/>
      <c r="N2285" s="2" t="s">
        <v>126</v>
      </c>
      <c r="O2285" s="2"/>
      <c r="P2285" s="4">
        <v>1</v>
      </c>
      <c r="Q2285" s="2" t="s">
        <v>2751</v>
      </c>
      <c r="R2285" s="11">
        <f>SUBTOTAL(3,_xlfn.SINGLE(tbl_file[RowId]))</f>
        <v>1</v>
      </c>
    </row>
    <row r="2286" spans="10:18">
      <c r="J2286" s="4">
        <v>689</v>
      </c>
      <c r="K2286" s="21" t="str">
        <f t="shared" si="85"/>
        <v>The Perfect Diane Sauce - Chicken Diane  Chef Jean-Pierre</v>
      </c>
      <c r="L2286" s="20" t="s">
        <v>175</v>
      </c>
      <c r="M2286" s="4"/>
      <c r="N2286" s="2" t="s">
        <v>127</v>
      </c>
      <c r="O2286" s="2"/>
      <c r="P2286" s="4">
        <v>1</v>
      </c>
      <c r="Q2286" s="2" t="s">
        <v>1962</v>
      </c>
      <c r="R2286" s="11">
        <f>SUBTOTAL(3,_xlfn.SINGLE(tbl_file[RowId]))</f>
        <v>1</v>
      </c>
    </row>
    <row r="2287" spans="10:18">
      <c r="J2287" s="4">
        <v>690</v>
      </c>
      <c r="K2287" s="21" t="str">
        <f t="shared" si="85"/>
        <v>The Perfect Diane Sauce - Chicken Diane  Chef Jean-Pierre</v>
      </c>
      <c r="L2287" s="20" t="s">
        <v>175</v>
      </c>
      <c r="M2287" s="4"/>
      <c r="N2287" s="2" t="s">
        <v>2606</v>
      </c>
      <c r="O2287" s="2"/>
      <c r="P2287" s="4">
        <v>2</v>
      </c>
      <c r="Q2287" s="2" t="s">
        <v>2709</v>
      </c>
      <c r="R2287" s="11">
        <f>SUBTOTAL(3,_xlfn.SINGLE(tbl_file[RowId]))</f>
        <v>1</v>
      </c>
    </row>
    <row r="2288" spans="10:18">
      <c r="J2288" s="4">
        <v>691</v>
      </c>
      <c r="K2288" s="21" t="str">
        <f t="shared" si="85"/>
        <v>The Perfect Diane Sauce - Chicken Diane  Chef Jean-Pierre</v>
      </c>
      <c r="L2288" s="20" t="s">
        <v>175</v>
      </c>
      <c r="M2288" s="4"/>
      <c r="N2288" s="2" t="s">
        <v>131</v>
      </c>
      <c r="O2288" s="2"/>
      <c r="P2288" s="4">
        <v>1</v>
      </c>
      <c r="Q2288" s="2" t="s">
        <v>1995</v>
      </c>
      <c r="R2288" s="11">
        <f>SUBTOTAL(3,_xlfn.SINGLE(tbl_file[RowId]))</f>
        <v>1</v>
      </c>
    </row>
    <row r="2289" spans="10:18">
      <c r="J2289" s="4">
        <v>692</v>
      </c>
      <c r="K2289" s="21" t="str">
        <f t="shared" si="85"/>
        <v>The Perfect Diane Sauce - Chicken Diane  Chef Jean-Pierre</v>
      </c>
      <c r="L2289" s="20" t="s">
        <v>175</v>
      </c>
      <c r="M2289" s="4"/>
      <c r="N2289" s="2" t="s">
        <v>132</v>
      </c>
      <c r="O2289" s="2"/>
      <c r="P2289" s="4">
        <v>1</v>
      </c>
      <c r="Q2289" s="2" t="s">
        <v>238</v>
      </c>
      <c r="R2289" s="11">
        <f>SUBTOTAL(3,_xlfn.SINGLE(tbl_file[RowId]))</f>
        <v>1</v>
      </c>
    </row>
    <row r="2290" spans="10:18">
      <c r="J2290" s="4">
        <v>693</v>
      </c>
      <c r="K2290" s="21" t="str">
        <f t="shared" si="85"/>
        <v>The Perfect Diane Sauce - Chicken Diane  Chef Jean-Pierre</v>
      </c>
      <c r="L2290" s="20" t="s">
        <v>175</v>
      </c>
      <c r="M2290" s="4"/>
      <c r="N2290" s="2" t="s">
        <v>137</v>
      </c>
      <c r="O2290" s="2"/>
      <c r="P2290" s="4">
        <v>1</v>
      </c>
      <c r="Q2290" s="2" t="s">
        <v>2225</v>
      </c>
      <c r="R2290" s="11">
        <f>SUBTOTAL(3,_xlfn.SINGLE(tbl_file[RowId]))</f>
        <v>1</v>
      </c>
    </row>
    <row r="2291" spans="10:18">
      <c r="J2291" s="4">
        <v>694</v>
      </c>
      <c r="K2291" s="21" t="str">
        <f t="shared" ref="K2291:K2304" si="86">HYPERLINK("obsidian://open?vault=o2&amp;file=The%20Ultimate%20Cable%20Management%20Tier%20List.md","The Ultimate Cable Management Tier List")</f>
        <v>The Ultimate Cable Management Tier List</v>
      </c>
      <c r="L2291" s="20" t="s">
        <v>175</v>
      </c>
      <c r="M2291" s="4"/>
      <c r="N2291" s="2" t="s">
        <v>11</v>
      </c>
      <c r="O2291" s="2"/>
      <c r="P2291" s="4">
        <v>1</v>
      </c>
      <c r="Q2291" s="2" t="s">
        <v>240</v>
      </c>
      <c r="R2291" s="11">
        <f>SUBTOTAL(3,_xlfn.SINGLE(tbl_file[RowId]))</f>
        <v>1</v>
      </c>
    </row>
    <row r="2292" spans="10:18">
      <c r="J2292" s="4">
        <v>695</v>
      </c>
      <c r="K2292" s="21" t="str">
        <f t="shared" si="86"/>
        <v>The Ultimate Cable Management Tier List</v>
      </c>
      <c r="L2292" s="20" t="s">
        <v>175</v>
      </c>
      <c r="M2292" s="4"/>
      <c r="N2292" s="2" t="s">
        <v>13</v>
      </c>
      <c r="O2292" s="2"/>
      <c r="P2292" s="4">
        <v>1</v>
      </c>
      <c r="Q2292" s="2" t="s">
        <v>280</v>
      </c>
      <c r="R2292" s="11">
        <f>SUBTOTAL(3,_xlfn.SINGLE(tbl_file[RowId]))</f>
        <v>1</v>
      </c>
    </row>
    <row r="2293" spans="10:18">
      <c r="J2293" s="4">
        <v>696</v>
      </c>
      <c r="K2293" s="21" t="str">
        <f t="shared" si="86"/>
        <v>The Ultimate Cable Management Tier List</v>
      </c>
      <c r="L2293" s="20" t="s">
        <v>175</v>
      </c>
      <c r="M2293" s="4"/>
      <c r="N2293" s="2" t="s">
        <v>16</v>
      </c>
      <c r="O2293" s="2"/>
      <c r="P2293" s="4">
        <v>1</v>
      </c>
      <c r="Q2293" s="2" t="s">
        <v>280</v>
      </c>
      <c r="R2293" s="11">
        <f>SUBTOTAL(3,_xlfn.SINGLE(tbl_file[RowId]))</f>
        <v>1</v>
      </c>
    </row>
    <row r="2294" spans="10:18">
      <c r="J2294" s="4">
        <v>697</v>
      </c>
      <c r="K2294" s="21" t="str">
        <f t="shared" si="86"/>
        <v>The Ultimate Cable Management Tier List</v>
      </c>
      <c r="L2294" s="20" t="s">
        <v>175</v>
      </c>
      <c r="M2294" s="4"/>
      <c r="N2294" s="2" t="s">
        <v>37</v>
      </c>
      <c r="O2294" s="2"/>
      <c r="P2294" s="4">
        <v>1</v>
      </c>
      <c r="Q2294" s="2" t="s">
        <v>559</v>
      </c>
      <c r="R2294" s="11">
        <f>SUBTOTAL(3,_xlfn.SINGLE(tbl_file[RowId]))</f>
        <v>1</v>
      </c>
    </row>
    <row r="2295" spans="10:18">
      <c r="J2295" s="4">
        <v>698</v>
      </c>
      <c r="K2295" s="21" t="str">
        <f t="shared" si="86"/>
        <v>The Ultimate Cable Management Tier List</v>
      </c>
      <c r="L2295" s="20" t="s">
        <v>175</v>
      </c>
      <c r="M2295" s="4"/>
      <c r="N2295" s="2" t="s">
        <v>48</v>
      </c>
      <c r="O2295" s="2"/>
      <c r="P2295" s="4">
        <v>6</v>
      </c>
      <c r="Q2295" s="2" t="s">
        <v>2752</v>
      </c>
      <c r="R2295" s="11">
        <f>SUBTOTAL(3,_xlfn.SINGLE(tbl_file[RowId]))</f>
        <v>1</v>
      </c>
    </row>
    <row r="2296" spans="10:18">
      <c r="J2296" s="4">
        <v>699</v>
      </c>
      <c r="K2296" s="21" t="str">
        <f t="shared" si="86"/>
        <v>The Ultimate Cable Management Tier List</v>
      </c>
      <c r="L2296" s="20" t="s">
        <v>175</v>
      </c>
      <c r="M2296" s="4"/>
      <c r="N2296" s="2" t="s">
        <v>50</v>
      </c>
      <c r="O2296" s="2"/>
      <c r="P2296" s="4">
        <v>1</v>
      </c>
      <c r="Q2296" s="2" t="s">
        <v>1696</v>
      </c>
      <c r="R2296" s="11">
        <f>SUBTOTAL(3,_xlfn.SINGLE(tbl_file[RowId]))</f>
        <v>1</v>
      </c>
    </row>
    <row r="2297" spans="10:18">
      <c r="J2297" s="4">
        <v>700</v>
      </c>
      <c r="K2297" s="21" t="str">
        <f t="shared" si="86"/>
        <v>The Ultimate Cable Management Tier List</v>
      </c>
      <c r="L2297" s="20" t="s">
        <v>175</v>
      </c>
      <c r="M2297" s="4"/>
      <c r="N2297" s="2" t="s">
        <v>119</v>
      </c>
      <c r="O2297" s="2"/>
      <c r="P2297" s="4">
        <v>1</v>
      </c>
      <c r="Q2297" s="2" t="s">
        <v>2753</v>
      </c>
      <c r="R2297" s="11">
        <f>SUBTOTAL(3,_xlfn.SINGLE(tbl_file[RowId]))</f>
        <v>1</v>
      </c>
    </row>
    <row r="2298" spans="10:18">
      <c r="J2298" s="4">
        <v>701</v>
      </c>
      <c r="K2298" s="21" t="str">
        <f t="shared" si="86"/>
        <v>The Ultimate Cable Management Tier List</v>
      </c>
      <c r="L2298" s="20" t="s">
        <v>175</v>
      </c>
      <c r="M2298" s="4"/>
      <c r="N2298" s="2" t="s">
        <v>121</v>
      </c>
      <c r="O2298" s="2"/>
      <c r="P2298" s="4">
        <v>1</v>
      </c>
      <c r="Q2298" s="2" t="s">
        <v>1840</v>
      </c>
      <c r="R2298" s="11">
        <f>SUBTOTAL(3,_xlfn.SINGLE(tbl_file[RowId]))</f>
        <v>1</v>
      </c>
    </row>
    <row r="2299" spans="10:18">
      <c r="J2299" s="4">
        <v>702</v>
      </c>
      <c r="K2299" s="21" t="str">
        <f t="shared" si="86"/>
        <v>The Ultimate Cable Management Tier List</v>
      </c>
      <c r="L2299" s="20" t="s">
        <v>175</v>
      </c>
      <c r="M2299" s="4"/>
      <c r="N2299" s="2" t="s">
        <v>126</v>
      </c>
      <c r="O2299" s="2"/>
      <c r="P2299" s="4">
        <v>1</v>
      </c>
      <c r="Q2299" s="2" t="s">
        <v>2719</v>
      </c>
      <c r="R2299" s="11">
        <f>SUBTOTAL(3,_xlfn.SINGLE(tbl_file[RowId]))</f>
        <v>1</v>
      </c>
    </row>
    <row r="2300" spans="10:18">
      <c r="J2300" s="4">
        <v>703</v>
      </c>
      <c r="K2300" s="21" t="str">
        <f t="shared" si="86"/>
        <v>The Ultimate Cable Management Tier List</v>
      </c>
      <c r="L2300" s="20" t="s">
        <v>175</v>
      </c>
      <c r="M2300" s="4"/>
      <c r="N2300" s="2" t="s">
        <v>127</v>
      </c>
      <c r="O2300" s="2"/>
      <c r="P2300" s="4">
        <v>1</v>
      </c>
      <c r="Q2300" s="2" t="s">
        <v>1962</v>
      </c>
      <c r="R2300" s="11">
        <f>SUBTOTAL(3,_xlfn.SINGLE(tbl_file[RowId]))</f>
        <v>1</v>
      </c>
    </row>
    <row r="2301" spans="10:18">
      <c r="J2301" s="4">
        <v>704</v>
      </c>
      <c r="K2301" s="21" t="str">
        <f t="shared" si="86"/>
        <v>The Ultimate Cable Management Tier List</v>
      </c>
      <c r="L2301" s="20" t="s">
        <v>175</v>
      </c>
      <c r="M2301" s="4"/>
      <c r="N2301" s="2" t="s">
        <v>2606</v>
      </c>
      <c r="O2301" s="2"/>
      <c r="P2301" s="4">
        <v>1</v>
      </c>
      <c r="Q2301" s="2" t="s">
        <v>2377</v>
      </c>
      <c r="R2301" s="11">
        <f>SUBTOTAL(3,_xlfn.SINGLE(tbl_file[RowId]))</f>
        <v>1</v>
      </c>
    </row>
    <row r="2302" spans="10:18">
      <c r="J2302" s="4">
        <v>705</v>
      </c>
      <c r="K2302" s="21" t="str">
        <f t="shared" si="86"/>
        <v>The Ultimate Cable Management Tier List</v>
      </c>
      <c r="L2302" s="20" t="s">
        <v>175</v>
      </c>
      <c r="M2302" s="4"/>
      <c r="N2302" s="2" t="s">
        <v>131</v>
      </c>
      <c r="O2302" s="2"/>
      <c r="P2302" s="4">
        <v>1</v>
      </c>
      <c r="Q2302" s="2" t="s">
        <v>2019</v>
      </c>
      <c r="R2302" s="11">
        <f>SUBTOTAL(3,_xlfn.SINGLE(tbl_file[RowId]))</f>
        <v>1</v>
      </c>
    </row>
    <row r="2303" spans="10:18">
      <c r="J2303" s="4">
        <v>706</v>
      </c>
      <c r="K2303" s="21" t="str">
        <f t="shared" si="86"/>
        <v>The Ultimate Cable Management Tier List</v>
      </c>
      <c r="L2303" s="20" t="s">
        <v>175</v>
      </c>
      <c r="M2303" s="4"/>
      <c r="N2303" s="2" t="s">
        <v>132</v>
      </c>
      <c r="O2303" s="2"/>
      <c r="P2303" s="4">
        <v>1</v>
      </c>
      <c r="Q2303" s="2" t="s">
        <v>240</v>
      </c>
      <c r="R2303" s="11">
        <f>SUBTOTAL(3,_xlfn.SINGLE(tbl_file[RowId]))</f>
        <v>1</v>
      </c>
    </row>
    <row r="2304" spans="10:18">
      <c r="J2304" s="4">
        <v>707</v>
      </c>
      <c r="K2304" s="21" t="str">
        <f t="shared" si="86"/>
        <v>The Ultimate Cable Management Tier List</v>
      </c>
      <c r="L2304" s="20" t="s">
        <v>175</v>
      </c>
      <c r="M2304" s="4"/>
      <c r="N2304" s="2" t="s">
        <v>137</v>
      </c>
      <c r="O2304" s="2"/>
      <c r="P2304" s="4">
        <v>1</v>
      </c>
      <c r="Q2304" s="2" t="s">
        <v>2249</v>
      </c>
      <c r="R2304" s="11">
        <f>SUBTOTAL(3,_xlfn.SINGLE(tbl_file[RowId]))</f>
        <v>1</v>
      </c>
    </row>
    <row r="2305" spans="10:18">
      <c r="J2305" s="4">
        <v>2348</v>
      </c>
      <c r="K2305" s="21" t="str">
        <f>HYPERLINK("obsidian://open?vault=o2&amp;file=The%20usermod%20command.md","The usermod command")</f>
        <v>The usermod command</v>
      </c>
      <c r="L2305" s="20" t="s">
        <v>175</v>
      </c>
      <c r="M2305" s="4"/>
      <c r="N2305" s="2" t="s">
        <v>50</v>
      </c>
      <c r="O2305" s="2"/>
      <c r="P2305" s="4">
        <v>2</v>
      </c>
      <c r="Q2305" s="2" t="s">
        <v>3164</v>
      </c>
      <c r="R2305" s="11">
        <f>SUBTOTAL(3,_xlfn.SINGLE(tbl_file[RowId]))</f>
        <v>1</v>
      </c>
    </row>
    <row r="2306" spans="10:18">
      <c r="J2306" s="4">
        <v>2349</v>
      </c>
      <c r="K2306" s="21" t="str">
        <f>HYPERLINK("obsidian://open?vault=o2&amp;file=The%20usermod%20command.md","The usermod command")</f>
        <v>The usermod command</v>
      </c>
      <c r="L2306" s="20" t="s">
        <v>175</v>
      </c>
      <c r="M2306" s="4"/>
      <c r="N2306" s="2" t="s">
        <v>2606</v>
      </c>
      <c r="O2306" s="2"/>
      <c r="P2306" s="4">
        <v>4</v>
      </c>
      <c r="Q2306" s="2" t="s">
        <v>3165</v>
      </c>
      <c r="R2306" s="11">
        <f>SUBTOTAL(3,_xlfn.SINGLE(tbl_file[RowId]))</f>
        <v>1</v>
      </c>
    </row>
    <row r="2307" spans="10:18">
      <c r="J2307" s="4">
        <v>2350</v>
      </c>
      <c r="K2307" s="21" t="str">
        <f>HYPERLINK("obsidian://open?vault=o2&amp;file=The%20usermod%20command.md","The usermod command")</f>
        <v>The usermod command</v>
      </c>
      <c r="L2307" s="20" t="s">
        <v>175</v>
      </c>
      <c r="M2307" s="4"/>
      <c r="N2307" s="2" t="s">
        <v>133</v>
      </c>
      <c r="O2307" s="2"/>
      <c r="P2307" s="4">
        <v>1</v>
      </c>
      <c r="Q2307" s="2" t="s">
        <v>2107</v>
      </c>
      <c r="R2307" s="11">
        <f>SUBTOTAL(3,_xlfn.SINGLE(tbl_file[RowId]))</f>
        <v>1</v>
      </c>
    </row>
    <row r="2308" spans="10:18">
      <c r="J2308" s="4">
        <v>708</v>
      </c>
      <c r="K2308" s="21" t="str">
        <f t="shared" ref="K2308:K2321" si="87">HYPERLINK("obsidian://open?vault=o2&amp;file=Time%20to%20UNSUBSCRIBE%20from%20Disney%2B%2C%20Netflix%2C%20etc%21.md","Time to UNSUBSCRIBE from Disney+, Netflix, etc!")</f>
        <v>Time to UNSUBSCRIBE from Disney+, Netflix, etc!</v>
      </c>
      <c r="L2308" s="20" t="s">
        <v>175</v>
      </c>
      <c r="M2308" s="4"/>
      <c r="N2308" s="2" t="s">
        <v>11</v>
      </c>
      <c r="O2308" s="2"/>
      <c r="P2308" s="4">
        <v>1</v>
      </c>
      <c r="Q2308" s="2" t="s">
        <v>242</v>
      </c>
      <c r="R2308" s="11">
        <f>SUBTOTAL(3,_xlfn.SINGLE(tbl_file[RowId]))</f>
        <v>1</v>
      </c>
    </row>
    <row r="2309" spans="10:18">
      <c r="J2309" s="4">
        <v>709</v>
      </c>
      <c r="K2309" s="21" t="str">
        <f t="shared" si="87"/>
        <v>Time to UNSUBSCRIBE from Disney+, Netflix, etc!</v>
      </c>
      <c r="L2309" s="20" t="s">
        <v>175</v>
      </c>
      <c r="M2309" s="4"/>
      <c r="N2309" s="2" t="s">
        <v>13</v>
      </c>
      <c r="O2309" s="2"/>
      <c r="P2309" s="4">
        <v>1</v>
      </c>
      <c r="Q2309" s="2" t="s">
        <v>306</v>
      </c>
      <c r="R2309" s="11">
        <f>SUBTOTAL(3,_xlfn.SINGLE(tbl_file[RowId]))</f>
        <v>1</v>
      </c>
    </row>
    <row r="2310" spans="10:18">
      <c r="J2310" s="4">
        <v>710</v>
      </c>
      <c r="K2310" s="21" t="str">
        <f t="shared" si="87"/>
        <v>Time to UNSUBSCRIBE from Disney+, Netflix, etc!</v>
      </c>
      <c r="L2310" s="20" t="s">
        <v>175</v>
      </c>
      <c r="M2310" s="4"/>
      <c r="N2310" s="2" t="s">
        <v>16</v>
      </c>
      <c r="O2310" s="2"/>
      <c r="P2310" s="4">
        <v>1</v>
      </c>
      <c r="Q2310" s="2" t="s">
        <v>306</v>
      </c>
      <c r="R2310" s="11">
        <f>SUBTOTAL(3,_xlfn.SINGLE(tbl_file[RowId]))</f>
        <v>1</v>
      </c>
    </row>
    <row r="2311" spans="10:18">
      <c r="J2311" s="4">
        <v>711</v>
      </c>
      <c r="K2311" s="21" t="str">
        <f t="shared" si="87"/>
        <v>Time to UNSUBSCRIBE from Disney+, Netflix, etc!</v>
      </c>
      <c r="L2311" s="20" t="s">
        <v>175</v>
      </c>
      <c r="M2311" s="4"/>
      <c r="N2311" s="2" t="s">
        <v>37</v>
      </c>
      <c r="O2311" s="2"/>
      <c r="P2311" s="4">
        <v>1</v>
      </c>
      <c r="Q2311" s="2" t="s">
        <v>567</v>
      </c>
      <c r="R2311" s="11">
        <f>SUBTOTAL(3,_xlfn.SINGLE(tbl_file[RowId]))</f>
        <v>1</v>
      </c>
    </row>
    <row r="2312" spans="10:18">
      <c r="J2312" s="4">
        <v>712</v>
      </c>
      <c r="K2312" s="21" t="str">
        <f t="shared" si="87"/>
        <v>Time to UNSUBSCRIBE from Disney+, Netflix, etc!</v>
      </c>
      <c r="L2312" s="20" t="s">
        <v>175</v>
      </c>
      <c r="M2312" s="4"/>
      <c r="N2312" s="2" t="s">
        <v>48</v>
      </c>
      <c r="O2312" s="2"/>
      <c r="P2312" s="4">
        <v>59</v>
      </c>
      <c r="Q2312" s="2" t="s">
        <v>2754</v>
      </c>
      <c r="R2312" s="11">
        <f>SUBTOTAL(3,_xlfn.SINGLE(tbl_file[RowId]))</f>
        <v>1</v>
      </c>
    </row>
    <row r="2313" spans="10:18">
      <c r="J2313" s="4">
        <v>713</v>
      </c>
      <c r="K2313" s="21" t="str">
        <f t="shared" si="87"/>
        <v>Time to UNSUBSCRIBE from Disney+, Netflix, etc!</v>
      </c>
      <c r="L2313" s="20" t="s">
        <v>175</v>
      </c>
      <c r="M2313" s="4"/>
      <c r="N2313" s="2" t="s">
        <v>50</v>
      </c>
      <c r="O2313" s="2"/>
      <c r="P2313" s="4">
        <v>1</v>
      </c>
      <c r="Q2313" s="2" t="s">
        <v>1572</v>
      </c>
      <c r="R2313" s="11">
        <f>SUBTOTAL(3,_xlfn.SINGLE(tbl_file[RowId]))</f>
        <v>1</v>
      </c>
    </row>
    <row r="2314" spans="10:18">
      <c r="J2314" s="4">
        <v>714</v>
      </c>
      <c r="K2314" s="21" t="str">
        <f t="shared" si="87"/>
        <v>Time to UNSUBSCRIBE from Disney+, Netflix, etc!</v>
      </c>
      <c r="L2314" s="20" t="s">
        <v>175</v>
      </c>
      <c r="M2314" s="4"/>
      <c r="N2314" s="2" t="s">
        <v>119</v>
      </c>
      <c r="O2314" s="2"/>
      <c r="P2314" s="4">
        <v>1</v>
      </c>
      <c r="Q2314" s="2" t="s">
        <v>2755</v>
      </c>
      <c r="R2314" s="11">
        <f>SUBTOTAL(3,_xlfn.SINGLE(tbl_file[RowId]))</f>
        <v>1</v>
      </c>
    </row>
    <row r="2315" spans="10:18">
      <c r="J2315" s="4">
        <v>715</v>
      </c>
      <c r="K2315" s="21" t="str">
        <f t="shared" si="87"/>
        <v>Time to UNSUBSCRIBE from Disney+, Netflix, etc!</v>
      </c>
      <c r="L2315" s="20" t="s">
        <v>175</v>
      </c>
      <c r="M2315" s="4"/>
      <c r="N2315" s="2" t="s">
        <v>121</v>
      </c>
      <c r="O2315" s="2"/>
      <c r="P2315" s="4">
        <v>1</v>
      </c>
      <c r="Q2315" s="2" t="s">
        <v>1851</v>
      </c>
      <c r="R2315" s="11">
        <f>SUBTOTAL(3,_xlfn.SINGLE(tbl_file[RowId]))</f>
        <v>1</v>
      </c>
    </row>
    <row r="2316" spans="10:18">
      <c r="J2316" s="4">
        <v>716</v>
      </c>
      <c r="K2316" s="21" t="str">
        <f t="shared" si="87"/>
        <v>Time to UNSUBSCRIBE from Disney+, Netflix, etc!</v>
      </c>
      <c r="L2316" s="20" t="s">
        <v>175</v>
      </c>
      <c r="M2316" s="4"/>
      <c r="N2316" s="2" t="s">
        <v>126</v>
      </c>
      <c r="O2316" s="2"/>
      <c r="P2316" s="4">
        <v>1</v>
      </c>
      <c r="Q2316" s="2" t="s">
        <v>2756</v>
      </c>
      <c r="R2316" s="11">
        <f>SUBTOTAL(3,_xlfn.SINGLE(tbl_file[RowId]))</f>
        <v>1</v>
      </c>
    </row>
    <row r="2317" spans="10:18">
      <c r="J2317" s="4">
        <v>717</v>
      </c>
      <c r="K2317" s="21" t="str">
        <f t="shared" si="87"/>
        <v>Time to UNSUBSCRIBE from Disney+, Netflix, etc!</v>
      </c>
      <c r="L2317" s="20" t="s">
        <v>175</v>
      </c>
      <c r="M2317" s="4"/>
      <c r="N2317" s="2" t="s">
        <v>127</v>
      </c>
      <c r="O2317" s="2"/>
      <c r="P2317" s="4">
        <v>1</v>
      </c>
      <c r="Q2317" s="2" t="s">
        <v>1962</v>
      </c>
      <c r="R2317" s="11">
        <f>SUBTOTAL(3,_xlfn.SINGLE(tbl_file[RowId]))</f>
        <v>1</v>
      </c>
    </row>
    <row r="2318" spans="10:18">
      <c r="J2318" s="4">
        <v>718</v>
      </c>
      <c r="K2318" s="21" t="str">
        <f t="shared" si="87"/>
        <v>Time to UNSUBSCRIBE from Disney+, Netflix, etc!</v>
      </c>
      <c r="L2318" s="20" t="s">
        <v>175</v>
      </c>
      <c r="M2318" s="4"/>
      <c r="N2318" s="2" t="s">
        <v>2606</v>
      </c>
      <c r="O2318" s="2"/>
      <c r="P2318" s="4">
        <v>1</v>
      </c>
      <c r="Q2318" s="2" t="s">
        <v>2377</v>
      </c>
      <c r="R2318" s="11">
        <f>SUBTOTAL(3,_xlfn.SINGLE(tbl_file[RowId]))</f>
        <v>1</v>
      </c>
    </row>
    <row r="2319" spans="10:18">
      <c r="J2319" s="4">
        <v>719</v>
      </c>
      <c r="K2319" s="21" t="str">
        <f t="shared" si="87"/>
        <v>Time to UNSUBSCRIBE from Disney+, Netflix, etc!</v>
      </c>
      <c r="L2319" s="20" t="s">
        <v>175</v>
      </c>
      <c r="M2319" s="4"/>
      <c r="N2319" s="2" t="s">
        <v>131</v>
      </c>
      <c r="O2319" s="2"/>
      <c r="P2319" s="4">
        <v>1</v>
      </c>
      <c r="Q2319" s="2" t="s">
        <v>2007</v>
      </c>
      <c r="R2319" s="11">
        <f>SUBTOTAL(3,_xlfn.SINGLE(tbl_file[RowId]))</f>
        <v>1</v>
      </c>
    </row>
    <row r="2320" spans="10:18">
      <c r="J2320" s="4">
        <v>720</v>
      </c>
      <c r="K2320" s="21" t="str">
        <f t="shared" si="87"/>
        <v>Time to UNSUBSCRIBE from Disney+, Netflix, etc!</v>
      </c>
      <c r="L2320" s="20" t="s">
        <v>175</v>
      </c>
      <c r="M2320" s="4"/>
      <c r="N2320" s="2" t="s">
        <v>132</v>
      </c>
      <c r="O2320" s="2"/>
      <c r="P2320" s="4">
        <v>1</v>
      </c>
      <c r="Q2320" s="2" t="s">
        <v>242</v>
      </c>
      <c r="R2320" s="11">
        <f>SUBTOTAL(3,_xlfn.SINGLE(tbl_file[RowId]))</f>
        <v>1</v>
      </c>
    </row>
    <row r="2321" spans="10:18">
      <c r="J2321" s="4">
        <v>721</v>
      </c>
      <c r="K2321" s="21" t="str">
        <f t="shared" si="87"/>
        <v>Time to UNSUBSCRIBE from Disney+, Netflix, etc!</v>
      </c>
      <c r="L2321" s="20" t="s">
        <v>175</v>
      </c>
      <c r="M2321" s="4"/>
      <c r="N2321" s="2" t="s">
        <v>137</v>
      </c>
      <c r="O2321" s="2"/>
      <c r="P2321" s="4">
        <v>1</v>
      </c>
      <c r="Q2321" s="2" t="s">
        <v>2237</v>
      </c>
      <c r="R2321" s="11">
        <f>SUBTOTAL(3,_xlfn.SINGLE(tbl_file[RowId]))</f>
        <v>1</v>
      </c>
    </row>
    <row r="2322" spans="10:18">
      <c r="J2322" s="4">
        <v>2351</v>
      </c>
      <c r="K2322" s="21" t="str">
        <f>HYPERLINK("obsidian://open?vault=o2&amp;file=Todoist%20Sync%20Plugin.md","Todoist Sync Plugin")</f>
        <v>Todoist Sync Plugin</v>
      </c>
      <c r="L2322" s="20" t="s">
        <v>175</v>
      </c>
      <c r="M2322" s="4"/>
      <c r="N2322" s="2" t="s">
        <v>50</v>
      </c>
      <c r="O2322" s="2"/>
      <c r="P2322" s="4">
        <v>1</v>
      </c>
      <c r="Q2322" s="2" t="s">
        <v>1544</v>
      </c>
      <c r="R2322" s="11">
        <f>SUBTOTAL(3,_xlfn.SINGLE(tbl_file[RowId]))</f>
        <v>1</v>
      </c>
    </row>
    <row r="2323" spans="10:18">
      <c r="J2323" s="4">
        <v>2352</v>
      </c>
      <c r="K2323" s="21" t="str">
        <f>HYPERLINK("obsidian://open?vault=o2&amp;file=Todoist%20Sync%20Plugin.md","Todoist Sync Plugin")</f>
        <v>Todoist Sync Plugin</v>
      </c>
      <c r="L2323" s="20" t="s">
        <v>175</v>
      </c>
      <c r="M2323" s="4" t="s">
        <v>2626</v>
      </c>
      <c r="N2323" s="2" t="s">
        <v>2606</v>
      </c>
      <c r="O2323" s="2"/>
      <c r="P2323" s="4">
        <v>2</v>
      </c>
      <c r="Q2323" s="2" t="s">
        <v>3166</v>
      </c>
      <c r="R2323" s="11">
        <f>SUBTOTAL(3,_xlfn.SINGLE(tbl_file[RowId]))</f>
        <v>1</v>
      </c>
    </row>
    <row r="2324" spans="10:18">
      <c r="J2324" s="4">
        <v>75</v>
      </c>
      <c r="K2324" s="21" t="str">
        <f>HYPERLINK("obsidian://open?vault=o2&amp;file=Troubleshooting%20NGINX.md","Troubleshooting NGINX")</f>
        <v>Troubleshooting NGINX</v>
      </c>
      <c r="L2324" s="20" t="s">
        <v>175</v>
      </c>
      <c r="M2324" s="4"/>
      <c r="N2324" s="2" t="s">
        <v>50</v>
      </c>
      <c r="O2324" s="2"/>
      <c r="P2324" s="4">
        <v>1</v>
      </c>
      <c r="Q2324" s="2" t="s">
        <v>1621</v>
      </c>
      <c r="R2324" s="11">
        <f>SUBTOTAL(3,_xlfn.SINGLE(tbl_file[RowId]))</f>
        <v>1</v>
      </c>
    </row>
    <row r="2325" spans="10:18">
      <c r="J2325" s="4">
        <v>76</v>
      </c>
      <c r="K2325" s="21" t="str">
        <f>HYPERLINK("obsidian://open?vault=o2&amp;file=Troubleshooting%20NGINX.md","Troubleshooting NGINX")</f>
        <v>Troubleshooting NGINX</v>
      </c>
      <c r="L2325" s="20" t="s">
        <v>175</v>
      </c>
      <c r="M2325" s="4"/>
      <c r="N2325" s="2" t="s">
        <v>127</v>
      </c>
      <c r="O2325" s="2"/>
      <c r="P2325" s="4">
        <v>1</v>
      </c>
      <c r="Q2325" s="2" t="s">
        <v>1960</v>
      </c>
      <c r="R2325" s="11">
        <f>SUBTOTAL(3,_xlfn.SINGLE(tbl_file[RowId]))</f>
        <v>1</v>
      </c>
    </row>
    <row r="2326" spans="10:18">
      <c r="J2326" s="4">
        <v>77</v>
      </c>
      <c r="K2326" s="21" t="str">
        <f>HYPERLINK("obsidian://open?vault=o2&amp;file=Troubleshooting%20NGINX.md","Troubleshooting NGINX")</f>
        <v>Troubleshooting NGINX</v>
      </c>
      <c r="L2326" s="20" t="s">
        <v>175</v>
      </c>
      <c r="M2326" s="4"/>
      <c r="N2326" s="2" t="s">
        <v>2606</v>
      </c>
      <c r="O2326" s="2"/>
      <c r="P2326" s="4">
        <v>2</v>
      </c>
      <c r="Q2326" s="2" t="s">
        <v>2623</v>
      </c>
      <c r="R2326" s="11">
        <f>SUBTOTAL(3,_xlfn.SINGLE(tbl_file[RowId]))</f>
        <v>1</v>
      </c>
    </row>
    <row r="2327" spans="10:18">
      <c r="J2327" s="4">
        <v>78</v>
      </c>
      <c r="K2327" s="21" t="str">
        <f>HYPERLINK("obsidian://open?vault=o2&amp;file=Troubleshooting%20NGINX.md","Troubleshooting NGINX")</f>
        <v>Troubleshooting NGINX</v>
      </c>
      <c r="L2327" s="20" t="s">
        <v>175</v>
      </c>
      <c r="M2327" s="4"/>
      <c r="N2327" s="2" t="s">
        <v>133</v>
      </c>
      <c r="O2327" s="2"/>
      <c r="P2327" s="4">
        <v>1</v>
      </c>
      <c r="Q2327" s="2" t="s">
        <v>2111</v>
      </c>
      <c r="R2327" s="11">
        <f>SUBTOTAL(3,_xlfn.SINGLE(tbl_file[RowId]))</f>
        <v>1</v>
      </c>
    </row>
    <row r="2328" spans="10:18">
      <c r="J2328" s="4">
        <v>2353</v>
      </c>
      <c r="K2328" s="21" t="str">
        <f t="shared" ref="K2328:K2333" si="88">HYPERLINK("obsidian://open?vault=o2&amp;file=Turning%20notes%20into%20content.md","Turning notes into content")</f>
        <v>Turning notes into content</v>
      </c>
      <c r="L2328" s="20" t="s">
        <v>175</v>
      </c>
      <c r="M2328" s="4"/>
      <c r="N2328" s="2" t="s">
        <v>50</v>
      </c>
      <c r="O2328" s="2"/>
      <c r="P2328" s="4">
        <v>1</v>
      </c>
      <c r="Q2328" s="2" t="s">
        <v>1496</v>
      </c>
      <c r="R2328" s="11">
        <f>SUBTOTAL(3,_xlfn.SINGLE(tbl_file[RowId]))</f>
        <v>1</v>
      </c>
    </row>
    <row r="2329" spans="10:18">
      <c r="J2329" s="4">
        <v>2354</v>
      </c>
      <c r="K2329" s="21" t="str">
        <f t="shared" si="88"/>
        <v>Turning notes into content</v>
      </c>
      <c r="L2329" s="20" t="s">
        <v>175</v>
      </c>
      <c r="M2329" s="4"/>
      <c r="N2329" s="2" t="s">
        <v>118</v>
      </c>
      <c r="O2329" s="2"/>
      <c r="P2329" s="4">
        <v>1</v>
      </c>
      <c r="Q2329" s="2" t="s">
        <v>1641</v>
      </c>
      <c r="R2329" s="11">
        <f>SUBTOTAL(3,_xlfn.SINGLE(tbl_file[RowId]))</f>
        <v>1</v>
      </c>
    </row>
    <row r="2330" spans="10:18">
      <c r="J2330" s="4">
        <v>2355</v>
      </c>
      <c r="K2330" s="21" t="str">
        <f t="shared" si="88"/>
        <v>Turning notes into content</v>
      </c>
      <c r="L2330" s="20" t="s">
        <v>175</v>
      </c>
      <c r="M2330" s="4"/>
      <c r="N2330" s="2" t="s">
        <v>123</v>
      </c>
      <c r="O2330" s="2"/>
      <c r="P2330" s="4">
        <v>1</v>
      </c>
      <c r="Q2330" s="2" t="s">
        <v>1564</v>
      </c>
      <c r="R2330" s="11">
        <f>SUBTOTAL(3,_xlfn.SINGLE(tbl_file[RowId]))</f>
        <v>1</v>
      </c>
    </row>
    <row r="2331" spans="10:18">
      <c r="J2331" s="4">
        <v>2356</v>
      </c>
      <c r="K2331" s="21" t="str">
        <f t="shared" si="88"/>
        <v>Turning notes into content</v>
      </c>
      <c r="L2331" s="20" t="s">
        <v>175</v>
      </c>
      <c r="M2331" s="4"/>
      <c r="N2331" s="2" t="s">
        <v>127</v>
      </c>
      <c r="O2331" s="2"/>
      <c r="P2331" s="4">
        <v>1</v>
      </c>
      <c r="Q2331" s="2" t="s">
        <v>1964</v>
      </c>
      <c r="R2331" s="11">
        <f>SUBTOTAL(3,_xlfn.SINGLE(tbl_file[RowId]))</f>
        <v>1</v>
      </c>
    </row>
    <row r="2332" spans="10:18">
      <c r="J2332" s="4">
        <v>2357</v>
      </c>
      <c r="K2332" s="21" t="str">
        <f t="shared" si="88"/>
        <v>Turning notes into content</v>
      </c>
      <c r="L2332" s="20" t="s">
        <v>175</v>
      </c>
      <c r="M2332" s="4"/>
      <c r="N2332" s="2" t="s">
        <v>129</v>
      </c>
      <c r="O2332" s="2"/>
      <c r="P2332" s="4">
        <v>1</v>
      </c>
      <c r="Q2332" s="2" t="s">
        <v>1430</v>
      </c>
      <c r="R2332" s="11">
        <f>SUBTOTAL(3,_xlfn.SINGLE(tbl_file[RowId]))</f>
        <v>1</v>
      </c>
    </row>
    <row r="2333" spans="10:18">
      <c r="J2333" s="4">
        <v>2358</v>
      </c>
      <c r="K2333" s="21" t="str">
        <f t="shared" si="88"/>
        <v>Turning notes into content</v>
      </c>
      <c r="L2333" s="20" t="s">
        <v>175</v>
      </c>
      <c r="M2333" s="4"/>
      <c r="N2333" s="2" t="s">
        <v>2606</v>
      </c>
      <c r="O2333" s="2"/>
      <c r="P2333" s="4">
        <v>3</v>
      </c>
      <c r="Q2333" s="2" t="s">
        <v>3167</v>
      </c>
      <c r="R2333" s="11">
        <f>SUBTOTAL(3,_xlfn.SINGLE(tbl_file[RowId]))</f>
        <v>1</v>
      </c>
    </row>
    <row r="2334" spans="10:18">
      <c r="J2334" s="4">
        <v>387</v>
      </c>
      <c r="K2334" s="21" t="str">
        <f>HYPERLINK("obsidian://open?vault=o2&amp;file=Twelve%20Principles%20of%20AA.md","Twelve Principles of AA")</f>
        <v>Twelve Principles of AA</v>
      </c>
      <c r="L2334" s="20" t="s">
        <v>175</v>
      </c>
      <c r="M2334" s="4"/>
      <c r="N2334" s="2" t="s">
        <v>11</v>
      </c>
      <c r="O2334" s="2"/>
      <c r="P2334" s="4">
        <v>2</v>
      </c>
      <c r="Q2334" s="2" t="s">
        <v>2677</v>
      </c>
      <c r="R2334" s="11">
        <f>SUBTOTAL(3,_xlfn.SINGLE(tbl_file[RowId]))</f>
        <v>1</v>
      </c>
    </row>
    <row r="2335" spans="10:18">
      <c r="J2335" s="4">
        <v>388</v>
      </c>
      <c r="K2335" s="21" t="str">
        <f>HYPERLINK("obsidian://open?vault=o2&amp;file=Twelve%20Principles%20of%20AA.md","Twelve Principles of AA")</f>
        <v>Twelve Principles of AA</v>
      </c>
      <c r="L2335" s="20" t="s">
        <v>175</v>
      </c>
      <c r="M2335" s="4"/>
      <c r="N2335" s="2" t="s">
        <v>50</v>
      </c>
      <c r="O2335" s="2"/>
      <c r="P2335" s="4">
        <v>2</v>
      </c>
      <c r="Q2335" s="2" t="s">
        <v>2671</v>
      </c>
      <c r="R2335" s="11">
        <f>SUBTOTAL(3,_xlfn.SINGLE(tbl_file[RowId]))</f>
        <v>1</v>
      </c>
    </row>
    <row r="2336" spans="10:18">
      <c r="J2336" s="4">
        <v>389</v>
      </c>
      <c r="K2336" s="21" t="str">
        <f>HYPERLINK("obsidian://open?vault=o2&amp;file=Twelve%20Principles%20of%20AA.md","Twelve Principles of AA")</f>
        <v>Twelve Principles of AA</v>
      </c>
      <c r="L2336" s="20" t="s">
        <v>175</v>
      </c>
      <c r="M2336" s="4"/>
      <c r="N2336" s="2" t="s">
        <v>127</v>
      </c>
      <c r="O2336" s="2"/>
      <c r="P2336" s="4">
        <v>1</v>
      </c>
      <c r="Q2336" s="2" t="s">
        <v>1960</v>
      </c>
      <c r="R2336" s="11">
        <f>SUBTOTAL(3,_xlfn.SINGLE(tbl_file[RowId]))</f>
        <v>1</v>
      </c>
    </row>
    <row r="2337" spans="10:18">
      <c r="J2337" s="4">
        <v>390</v>
      </c>
      <c r="K2337" s="21" t="str">
        <f>HYPERLINK("obsidian://open?vault=o2&amp;file=Twelve%20Principles%20of%20AA.md","Twelve Principles of AA")</f>
        <v>Twelve Principles of AA</v>
      </c>
      <c r="L2337" s="20" t="s">
        <v>175</v>
      </c>
      <c r="M2337" s="4"/>
      <c r="N2337" s="2" t="s">
        <v>2606</v>
      </c>
      <c r="O2337" s="2"/>
      <c r="P2337" s="4">
        <v>3</v>
      </c>
      <c r="Q2337" s="2" t="s">
        <v>2673</v>
      </c>
      <c r="R2337" s="11">
        <f>SUBTOTAL(3,_xlfn.SINGLE(tbl_file[RowId]))</f>
        <v>1</v>
      </c>
    </row>
    <row r="2338" spans="10:18">
      <c r="J2338" s="4">
        <v>391</v>
      </c>
      <c r="K2338" s="21" t="str">
        <f>HYPERLINK("obsidian://open?vault=o2&amp;file=Twelve%20Principles%20of%20AA.md","Twelve Principles of AA")</f>
        <v>Twelve Principles of AA</v>
      </c>
      <c r="L2338" s="20" t="s">
        <v>175</v>
      </c>
      <c r="M2338" s="4"/>
      <c r="N2338" s="2" t="s">
        <v>133</v>
      </c>
      <c r="O2338" s="2"/>
      <c r="P2338" s="4">
        <v>1</v>
      </c>
      <c r="Q2338" s="2" t="s">
        <v>2111</v>
      </c>
      <c r="R2338" s="11">
        <f>SUBTOTAL(3,_xlfn.SINGLE(tbl_file[RowId]))</f>
        <v>1</v>
      </c>
    </row>
    <row r="2339" spans="10:18">
      <c r="J2339" s="4">
        <v>402</v>
      </c>
      <c r="K2339" s="21" t="str">
        <f>HYPERLINK("obsidian://open?vault=o2&amp;file=Twelve%20Steps%20of%20AA.md","Twelve Steps of AA")</f>
        <v>Twelve Steps of AA</v>
      </c>
      <c r="L2339" s="20" t="s">
        <v>175</v>
      </c>
      <c r="M2339" s="4"/>
      <c r="N2339" s="2" t="s">
        <v>11</v>
      </c>
      <c r="O2339" s="2"/>
      <c r="P2339" s="4">
        <v>2</v>
      </c>
      <c r="Q2339" s="2" t="s">
        <v>2680</v>
      </c>
      <c r="R2339" s="11">
        <f>SUBTOTAL(3,_xlfn.SINGLE(tbl_file[RowId]))</f>
        <v>1</v>
      </c>
    </row>
    <row r="2340" spans="10:18">
      <c r="J2340" s="4">
        <v>403</v>
      </c>
      <c r="K2340" s="21" t="str">
        <f>HYPERLINK("obsidian://open?vault=o2&amp;file=Twelve%20Steps%20of%20AA.md","Twelve Steps of AA")</f>
        <v>Twelve Steps of AA</v>
      </c>
      <c r="L2340" s="20" t="s">
        <v>175</v>
      </c>
      <c r="M2340" s="4"/>
      <c r="N2340" s="2" t="s">
        <v>50</v>
      </c>
      <c r="O2340" s="2"/>
      <c r="P2340" s="4">
        <v>2</v>
      </c>
      <c r="Q2340" s="2" t="s">
        <v>2671</v>
      </c>
      <c r="R2340" s="11">
        <f>SUBTOTAL(3,_xlfn.SINGLE(tbl_file[RowId]))</f>
        <v>1</v>
      </c>
    </row>
    <row r="2341" spans="10:18">
      <c r="J2341" s="4">
        <v>404</v>
      </c>
      <c r="K2341" s="21" t="str">
        <f>HYPERLINK("obsidian://open?vault=o2&amp;file=Twelve%20Steps%20of%20AA.md","Twelve Steps of AA")</f>
        <v>Twelve Steps of AA</v>
      </c>
      <c r="L2341" s="20" t="s">
        <v>175</v>
      </c>
      <c r="M2341" s="4"/>
      <c r="N2341" s="2" t="s">
        <v>127</v>
      </c>
      <c r="O2341" s="2"/>
      <c r="P2341" s="4">
        <v>1</v>
      </c>
      <c r="Q2341" s="2" t="s">
        <v>1958</v>
      </c>
      <c r="R2341" s="11">
        <f>SUBTOTAL(3,_xlfn.SINGLE(tbl_file[RowId]))</f>
        <v>1</v>
      </c>
    </row>
    <row r="2342" spans="10:18">
      <c r="J2342" s="4">
        <v>405</v>
      </c>
      <c r="K2342" s="21" t="str">
        <f>HYPERLINK("obsidian://open?vault=o2&amp;file=Twelve%20Steps%20of%20AA.md","Twelve Steps of AA")</f>
        <v>Twelve Steps of AA</v>
      </c>
      <c r="L2342" s="20" t="s">
        <v>175</v>
      </c>
      <c r="M2342" s="4"/>
      <c r="N2342" s="2" t="s">
        <v>2606</v>
      </c>
      <c r="O2342" s="2"/>
      <c r="P2342" s="4">
        <v>3</v>
      </c>
      <c r="Q2342" s="2" t="s">
        <v>2673</v>
      </c>
      <c r="R2342" s="11">
        <f>SUBTOTAL(3,_xlfn.SINGLE(tbl_file[RowId]))</f>
        <v>1</v>
      </c>
    </row>
    <row r="2343" spans="10:18">
      <c r="J2343" s="4">
        <v>406</v>
      </c>
      <c r="K2343" s="21" t="str">
        <f>HYPERLINK("obsidian://open?vault=o2&amp;file=Twelve%20Steps%20of%20AA.md","Twelve Steps of AA")</f>
        <v>Twelve Steps of AA</v>
      </c>
      <c r="L2343" s="20" t="s">
        <v>175</v>
      </c>
      <c r="M2343" s="4"/>
      <c r="N2343" s="2" t="s">
        <v>133</v>
      </c>
      <c r="O2343" s="2"/>
      <c r="P2343" s="4">
        <v>1</v>
      </c>
      <c r="Q2343" s="2" t="s">
        <v>2111</v>
      </c>
      <c r="R2343" s="11">
        <f>SUBTOTAL(3,_xlfn.SINGLE(tbl_file[RowId]))</f>
        <v>1</v>
      </c>
    </row>
    <row r="2344" spans="10:18">
      <c r="J2344" s="4">
        <v>392</v>
      </c>
      <c r="K2344" s="21" t="str">
        <f>HYPERLINK("obsidian://open?vault=o2&amp;file=Twelve%20Steps%20Work%20-%20Step%201.md","Twelve Steps Work - Step 1")</f>
        <v>Twelve Steps Work - Step 1</v>
      </c>
      <c r="L2344" s="20" t="s">
        <v>175</v>
      </c>
      <c r="M2344" s="4"/>
      <c r="N2344" s="2" t="s">
        <v>11</v>
      </c>
      <c r="O2344" s="2"/>
      <c r="P2344" s="4">
        <v>2</v>
      </c>
      <c r="Q2344" s="2" t="s">
        <v>2678</v>
      </c>
      <c r="R2344" s="11">
        <f>SUBTOTAL(3,_xlfn.SINGLE(tbl_file[RowId]))</f>
        <v>1</v>
      </c>
    </row>
    <row r="2345" spans="10:18">
      <c r="J2345" s="4">
        <v>393</v>
      </c>
      <c r="K2345" s="21" t="str">
        <f>HYPERLINK("obsidian://open?vault=o2&amp;file=Twelve%20Steps%20Work%20-%20Step%201.md","Twelve Steps Work - Step 1")</f>
        <v>Twelve Steps Work - Step 1</v>
      </c>
      <c r="L2345" s="20" t="s">
        <v>175</v>
      </c>
      <c r="M2345" s="4"/>
      <c r="N2345" s="2" t="s">
        <v>50</v>
      </c>
      <c r="O2345" s="2"/>
      <c r="P2345" s="4">
        <v>3</v>
      </c>
      <c r="Q2345" s="2" t="s">
        <v>2679</v>
      </c>
      <c r="R2345" s="11">
        <f>SUBTOTAL(3,_xlfn.SINGLE(tbl_file[RowId]))</f>
        <v>1</v>
      </c>
    </row>
    <row r="2346" spans="10:18">
      <c r="J2346" s="4">
        <v>394</v>
      </c>
      <c r="K2346" s="21" t="str">
        <f>HYPERLINK("obsidian://open?vault=o2&amp;file=Twelve%20Steps%20Work%20-%20Step%201.md","Twelve Steps Work - Step 1")</f>
        <v>Twelve Steps Work - Step 1</v>
      </c>
      <c r="L2346" s="20" t="s">
        <v>175</v>
      </c>
      <c r="M2346" s="4"/>
      <c r="N2346" s="2" t="s">
        <v>127</v>
      </c>
      <c r="O2346" s="2"/>
      <c r="P2346" s="4">
        <v>1</v>
      </c>
      <c r="Q2346" s="2" t="s">
        <v>1960</v>
      </c>
      <c r="R2346" s="11">
        <f>SUBTOTAL(3,_xlfn.SINGLE(tbl_file[RowId]))</f>
        <v>1</v>
      </c>
    </row>
    <row r="2347" spans="10:18">
      <c r="J2347" s="4">
        <v>395</v>
      </c>
      <c r="K2347" s="21" t="str">
        <f>HYPERLINK("obsidian://open?vault=o2&amp;file=Twelve%20Steps%20Work%20-%20Step%201.md","Twelve Steps Work - Step 1")</f>
        <v>Twelve Steps Work - Step 1</v>
      </c>
      <c r="L2347" s="20" t="s">
        <v>175</v>
      </c>
      <c r="M2347" s="4"/>
      <c r="N2347" s="2" t="s">
        <v>2606</v>
      </c>
      <c r="O2347" s="2"/>
      <c r="P2347" s="4">
        <v>3</v>
      </c>
      <c r="Q2347" s="2" t="s">
        <v>2673</v>
      </c>
      <c r="R2347" s="11">
        <f>SUBTOTAL(3,_xlfn.SINGLE(tbl_file[RowId]))</f>
        <v>1</v>
      </c>
    </row>
    <row r="2348" spans="10:18">
      <c r="J2348" s="4">
        <v>396</v>
      </c>
      <c r="K2348" s="21" t="str">
        <f>HYPERLINK("obsidian://open?vault=o2&amp;file=Twelve%20Steps%20Work%20-%20Step%201.md","Twelve Steps Work - Step 1")</f>
        <v>Twelve Steps Work - Step 1</v>
      </c>
      <c r="L2348" s="20" t="s">
        <v>175</v>
      </c>
      <c r="M2348" s="4"/>
      <c r="N2348" s="2" t="s">
        <v>133</v>
      </c>
      <c r="O2348" s="2"/>
      <c r="P2348" s="4">
        <v>1</v>
      </c>
      <c r="Q2348" s="2" t="s">
        <v>2111</v>
      </c>
      <c r="R2348" s="11">
        <f>SUBTOTAL(3,_xlfn.SINGLE(tbl_file[RowId]))</f>
        <v>1</v>
      </c>
    </row>
    <row r="2349" spans="10:18">
      <c r="J2349" s="4">
        <v>397</v>
      </c>
      <c r="K2349" s="21" t="str">
        <f>HYPERLINK("obsidian://open?vault=o2&amp;file=Twelve%20Steps%20Work%20-%20Step%202.md","Twelve Steps Work - Step 2")</f>
        <v>Twelve Steps Work - Step 2</v>
      </c>
      <c r="L2349" s="20" t="s">
        <v>175</v>
      </c>
      <c r="M2349" s="4"/>
      <c r="N2349" s="2" t="s">
        <v>11</v>
      </c>
      <c r="O2349" s="2"/>
      <c r="P2349" s="4">
        <v>2</v>
      </c>
      <c r="Q2349" s="2" t="s">
        <v>2678</v>
      </c>
      <c r="R2349" s="11">
        <f>SUBTOTAL(3,_xlfn.SINGLE(tbl_file[RowId]))</f>
        <v>1</v>
      </c>
    </row>
    <row r="2350" spans="10:18">
      <c r="J2350" s="4">
        <v>398</v>
      </c>
      <c r="K2350" s="21" t="str">
        <f>HYPERLINK("obsidian://open?vault=o2&amp;file=Twelve%20Steps%20Work%20-%20Step%202.md","Twelve Steps Work - Step 2")</f>
        <v>Twelve Steps Work - Step 2</v>
      </c>
      <c r="L2350" s="20" t="s">
        <v>175</v>
      </c>
      <c r="M2350" s="4"/>
      <c r="N2350" s="2" t="s">
        <v>50</v>
      </c>
      <c r="O2350" s="2"/>
      <c r="P2350" s="4">
        <v>3</v>
      </c>
      <c r="Q2350" s="2" t="s">
        <v>2679</v>
      </c>
      <c r="R2350" s="11">
        <f>SUBTOTAL(3,_xlfn.SINGLE(tbl_file[RowId]))</f>
        <v>1</v>
      </c>
    </row>
    <row r="2351" spans="10:18">
      <c r="J2351" s="4">
        <v>399</v>
      </c>
      <c r="K2351" s="21" t="str">
        <f>HYPERLINK("obsidian://open?vault=o2&amp;file=Twelve%20Steps%20Work%20-%20Step%202.md","Twelve Steps Work - Step 2")</f>
        <v>Twelve Steps Work - Step 2</v>
      </c>
      <c r="L2351" s="20" t="s">
        <v>175</v>
      </c>
      <c r="M2351" s="4"/>
      <c r="N2351" s="2" t="s">
        <v>127</v>
      </c>
      <c r="O2351" s="2"/>
      <c r="P2351" s="4">
        <v>1</v>
      </c>
      <c r="Q2351" s="2" t="s">
        <v>1960</v>
      </c>
      <c r="R2351" s="11">
        <f>SUBTOTAL(3,_xlfn.SINGLE(tbl_file[RowId]))</f>
        <v>1</v>
      </c>
    </row>
    <row r="2352" spans="10:18">
      <c r="J2352" s="4">
        <v>400</v>
      </c>
      <c r="K2352" s="21" t="str">
        <f>HYPERLINK("obsidian://open?vault=o2&amp;file=Twelve%20Steps%20Work%20-%20Step%202.md","Twelve Steps Work - Step 2")</f>
        <v>Twelve Steps Work - Step 2</v>
      </c>
      <c r="L2352" s="20" t="s">
        <v>175</v>
      </c>
      <c r="M2352" s="4"/>
      <c r="N2352" s="2" t="s">
        <v>2606</v>
      </c>
      <c r="O2352" s="2"/>
      <c r="P2352" s="4">
        <v>3</v>
      </c>
      <c r="Q2352" s="2" t="s">
        <v>2673</v>
      </c>
      <c r="R2352" s="11">
        <f>SUBTOTAL(3,_xlfn.SINGLE(tbl_file[RowId]))</f>
        <v>1</v>
      </c>
    </row>
    <row r="2353" spans="10:18">
      <c r="J2353" s="4">
        <v>401</v>
      </c>
      <c r="K2353" s="21" t="str">
        <f>HYPERLINK("obsidian://open?vault=o2&amp;file=Twelve%20Steps%20Work%20-%20Step%202.md","Twelve Steps Work - Step 2")</f>
        <v>Twelve Steps Work - Step 2</v>
      </c>
      <c r="L2353" s="20" t="s">
        <v>175</v>
      </c>
      <c r="M2353" s="4"/>
      <c r="N2353" s="2" t="s">
        <v>133</v>
      </c>
      <c r="O2353" s="2"/>
      <c r="P2353" s="4">
        <v>1</v>
      </c>
      <c r="Q2353" s="2" t="s">
        <v>2111</v>
      </c>
      <c r="R2353" s="11">
        <f>SUBTOTAL(3,_xlfn.SINGLE(tbl_file[RowId]))</f>
        <v>1</v>
      </c>
    </row>
    <row r="2354" spans="10:18">
      <c r="J2354" s="4">
        <v>407</v>
      </c>
      <c r="K2354" s="21" t="str">
        <f>HYPERLINK("obsidian://open?vault=o2&amp;file=Twelve%20Traditions%20of%20AA.md","Twelve Traditions of AA")</f>
        <v>Twelve Traditions of AA</v>
      </c>
      <c r="L2354" s="20" t="s">
        <v>175</v>
      </c>
      <c r="M2354" s="4"/>
      <c r="N2354" s="2" t="s">
        <v>50</v>
      </c>
      <c r="O2354" s="2"/>
      <c r="P2354" s="4">
        <v>3</v>
      </c>
      <c r="Q2354" s="2" t="s">
        <v>2679</v>
      </c>
      <c r="R2354" s="11">
        <f>SUBTOTAL(3,_xlfn.SINGLE(tbl_file[RowId]))</f>
        <v>1</v>
      </c>
    </row>
    <row r="2355" spans="10:18">
      <c r="J2355" s="4">
        <v>408</v>
      </c>
      <c r="K2355" s="21" t="str">
        <f>HYPERLINK("obsidian://open?vault=o2&amp;file=Twelve%20Traditions%20of%20AA.md","Twelve Traditions of AA")</f>
        <v>Twelve Traditions of AA</v>
      </c>
      <c r="L2355" s="20" t="s">
        <v>175</v>
      </c>
      <c r="M2355" s="4"/>
      <c r="N2355" s="2" t="s">
        <v>127</v>
      </c>
      <c r="O2355" s="2"/>
      <c r="P2355" s="4">
        <v>1</v>
      </c>
      <c r="Q2355" s="2" t="s">
        <v>1960</v>
      </c>
      <c r="R2355" s="11">
        <f>SUBTOTAL(3,_xlfn.SINGLE(tbl_file[RowId]))</f>
        <v>1</v>
      </c>
    </row>
    <row r="2356" spans="10:18">
      <c r="J2356" s="4">
        <v>409</v>
      </c>
      <c r="K2356" s="21" t="str">
        <f>HYPERLINK("obsidian://open?vault=o2&amp;file=Twelve%20Traditions%20of%20AA.md","Twelve Traditions of AA")</f>
        <v>Twelve Traditions of AA</v>
      </c>
      <c r="L2356" s="20" t="s">
        <v>175</v>
      </c>
      <c r="M2356" s="4"/>
      <c r="N2356" s="2" t="s">
        <v>2606</v>
      </c>
      <c r="O2356" s="2"/>
      <c r="P2356" s="4">
        <v>3</v>
      </c>
      <c r="Q2356" s="2" t="s">
        <v>2673</v>
      </c>
      <c r="R2356" s="11">
        <f>SUBTOTAL(3,_xlfn.SINGLE(tbl_file[RowId]))</f>
        <v>1</v>
      </c>
    </row>
    <row r="2357" spans="10:18">
      <c r="J2357" s="4">
        <v>410</v>
      </c>
      <c r="K2357" s="21" t="str">
        <f>HYPERLINK("obsidian://open?vault=o2&amp;file=Twelve%20Traditions%20of%20AA.md","Twelve Traditions of AA")</f>
        <v>Twelve Traditions of AA</v>
      </c>
      <c r="L2357" s="20" t="s">
        <v>175</v>
      </c>
      <c r="M2357" s="4"/>
      <c r="N2357" s="2" t="s">
        <v>133</v>
      </c>
      <c r="O2357" s="2"/>
      <c r="P2357" s="4">
        <v>1</v>
      </c>
      <c r="Q2357" s="2" t="s">
        <v>2111</v>
      </c>
      <c r="R2357" s="11">
        <f>SUBTOTAL(3,_xlfn.SINGLE(tbl_file[RowId]))</f>
        <v>1</v>
      </c>
    </row>
    <row r="2358" spans="10:18">
      <c r="J2358" s="4">
        <v>2359</v>
      </c>
      <c r="K2358" s="21" t="str">
        <f>HYPERLINK("obsidian://open?vault=o2&amp;file=Types%20of%20notes.md","Types of notes")</f>
        <v>Types of notes</v>
      </c>
      <c r="L2358" s="20" t="s">
        <v>175</v>
      </c>
      <c r="M2358" s="4"/>
      <c r="N2358" s="2" t="s">
        <v>50</v>
      </c>
      <c r="O2358" s="2"/>
      <c r="P2358" s="4">
        <v>1</v>
      </c>
      <c r="Q2358" s="2" t="s">
        <v>1432</v>
      </c>
      <c r="R2358" s="11">
        <f>SUBTOTAL(3,_xlfn.SINGLE(tbl_file[RowId]))</f>
        <v>1</v>
      </c>
    </row>
    <row r="2359" spans="10:18">
      <c r="J2359" s="4">
        <v>722</v>
      </c>
      <c r="K2359" s="21" t="str">
        <f t="shared" ref="K2359:K2369" si="89">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L2359" s="20" t="s">
        <v>175</v>
      </c>
      <c r="M2359" s="4"/>
      <c r="N2359" s="2" t="s">
        <v>11</v>
      </c>
      <c r="O2359" s="2"/>
      <c r="P2359" s="4">
        <v>1</v>
      </c>
      <c r="Q2359" s="2" t="s">
        <v>250</v>
      </c>
      <c r="R2359" s="11">
        <f>SUBTOTAL(3,_xlfn.SINGLE(tbl_file[RowId]))</f>
        <v>1</v>
      </c>
    </row>
    <row r="2360" spans="10:18">
      <c r="J2360" s="4">
        <v>723</v>
      </c>
      <c r="K2360" s="21" t="str">
        <f t="shared" si="89"/>
        <v>ULTRA Productive iPad Home Screen Setup (Apps, Widgets, Shortcuts, Focus Modes)</v>
      </c>
      <c r="L2360" s="20" t="s">
        <v>175</v>
      </c>
      <c r="M2360" s="4"/>
      <c r="N2360" s="2" t="s">
        <v>13</v>
      </c>
      <c r="O2360" s="2"/>
      <c r="P2360" s="4">
        <v>1</v>
      </c>
      <c r="Q2360" s="2" t="s">
        <v>292</v>
      </c>
      <c r="R2360" s="11">
        <f>SUBTOTAL(3,_xlfn.SINGLE(tbl_file[RowId]))</f>
        <v>1</v>
      </c>
    </row>
    <row r="2361" spans="10:18">
      <c r="J2361" s="4">
        <v>724</v>
      </c>
      <c r="K2361" s="21" t="str">
        <f t="shared" si="89"/>
        <v>ULTRA Productive iPad Home Screen Setup (Apps, Widgets, Shortcuts, Focus Modes)</v>
      </c>
      <c r="L2361" s="20" t="s">
        <v>175</v>
      </c>
      <c r="M2361" s="4"/>
      <c r="N2361" s="2" t="s">
        <v>16</v>
      </c>
      <c r="O2361" s="2"/>
      <c r="P2361" s="4">
        <v>1</v>
      </c>
      <c r="Q2361" s="2" t="s">
        <v>292</v>
      </c>
      <c r="R2361" s="11">
        <f>SUBTOTAL(3,_xlfn.SINGLE(tbl_file[RowId]))</f>
        <v>1</v>
      </c>
    </row>
    <row r="2362" spans="10:18">
      <c r="J2362" s="4">
        <v>725</v>
      </c>
      <c r="K2362" s="21" t="str">
        <f t="shared" si="89"/>
        <v>ULTRA Productive iPad Home Screen Setup (Apps, Widgets, Shortcuts, Focus Modes)</v>
      </c>
      <c r="L2362" s="20" t="s">
        <v>175</v>
      </c>
      <c r="M2362" s="4"/>
      <c r="N2362" s="2" t="s">
        <v>37</v>
      </c>
      <c r="O2362" s="2"/>
      <c r="P2362" s="4">
        <v>1</v>
      </c>
      <c r="Q2362" s="2" t="s">
        <v>565</v>
      </c>
      <c r="R2362" s="11">
        <f>SUBTOTAL(3,_xlfn.SINGLE(tbl_file[RowId]))</f>
        <v>1</v>
      </c>
    </row>
    <row r="2363" spans="10:18">
      <c r="J2363" s="4">
        <v>726</v>
      </c>
      <c r="K2363" s="21" t="str">
        <f t="shared" si="89"/>
        <v>ULTRA Productive iPad Home Screen Setup (Apps, Widgets, Shortcuts, Focus Modes)</v>
      </c>
      <c r="L2363" s="20" t="s">
        <v>175</v>
      </c>
      <c r="M2363" s="4"/>
      <c r="N2363" s="2" t="s">
        <v>48</v>
      </c>
      <c r="O2363" s="2"/>
      <c r="P2363" s="4">
        <v>6</v>
      </c>
      <c r="Q2363" s="2" t="s">
        <v>2752</v>
      </c>
      <c r="R2363" s="11">
        <f>SUBTOTAL(3,_xlfn.SINGLE(tbl_file[RowId]))</f>
        <v>1</v>
      </c>
    </row>
    <row r="2364" spans="10:18">
      <c r="J2364" s="4">
        <v>727</v>
      </c>
      <c r="K2364" s="21" t="str">
        <f t="shared" si="89"/>
        <v>ULTRA Productive iPad Home Screen Setup (Apps, Widgets, Shortcuts, Focus Modes)</v>
      </c>
      <c r="L2364" s="20" t="s">
        <v>175</v>
      </c>
      <c r="M2364" s="4"/>
      <c r="N2364" s="2" t="s">
        <v>119</v>
      </c>
      <c r="O2364" s="2"/>
      <c r="P2364" s="4">
        <v>1</v>
      </c>
      <c r="Q2364" s="2" t="s">
        <v>2757</v>
      </c>
      <c r="R2364" s="11">
        <f>SUBTOTAL(3,_xlfn.SINGLE(tbl_file[RowId]))</f>
        <v>1</v>
      </c>
    </row>
    <row r="2365" spans="10:18">
      <c r="J2365" s="4">
        <v>728</v>
      </c>
      <c r="K2365" s="21" t="str">
        <f t="shared" si="89"/>
        <v>ULTRA Productive iPad Home Screen Setup (Apps, Widgets, Shortcuts, Focus Modes)</v>
      </c>
      <c r="L2365" s="20" t="s">
        <v>175</v>
      </c>
      <c r="M2365" s="4"/>
      <c r="N2365" s="2" t="s">
        <v>126</v>
      </c>
      <c r="O2365" s="2"/>
      <c r="P2365" s="4">
        <v>1</v>
      </c>
      <c r="Q2365" s="2" t="s">
        <v>2758</v>
      </c>
      <c r="R2365" s="11">
        <f>SUBTOTAL(3,_xlfn.SINGLE(tbl_file[RowId]))</f>
        <v>1</v>
      </c>
    </row>
    <row r="2366" spans="10:18">
      <c r="J2366" s="4">
        <v>729</v>
      </c>
      <c r="K2366" s="21" t="str">
        <f t="shared" si="89"/>
        <v>ULTRA Productive iPad Home Screen Setup (Apps, Widgets, Shortcuts, Focus Modes)</v>
      </c>
      <c r="L2366" s="20" t="s">
        <v>175</v>
      </c>
      <c r="M2366" s="4"/>
      <c r="N2366" s="2" t="s">
        <v>2606</v>
      </c>
      <c r="O2366" s="2"/>
      <c r="P2366" s="4">
        <v>1</v>
      </c>
      <c r="Q2366" s="2" t="s">
        <v>2377</v>
      </c>
      <c r="R2366" s="11">
        <f>SUBTOTAL(3,_xlfn.SINGLE(tbl_file[RowId]))</f>
        <v>1</v>
      </c>
    </row>
    <row r="2367" spans="10:18">
      <c r="J2367" s="4">
        <v>730</v>
      </c>
      <c r="K2367" s="21" t="str">
        <f t="shared" si="89"/>
        <v>ULTRA Productive iPad Home Screen Setup (Apps, Widgets, Shortcuts, Focus Modes)</v>
      </c>
      <c r="L2367" s="20" t="s">
        <v>175</v>
      </c>
      <c r="M2367" s="4"/>
      <c r="N2367" s="2" t="s">
        <v>131</v>
      </c>
      <c r="O2367" s="2"/>
      <c r="P2367" s="4">
        <v>1</v>
      </c>
      <c r="Q2367" s="2" t="s">
        <v>2017</v>
      </c>
      <c r="R2367" s="11">
        <f>SUBTOTAL(3,_xlfn.SINGLE(tbl_file[RowId]))</f>
        <v>1</v>
      </c>
    </row>
    <row r="2368" spans="10:18">
      <c r="J2368" s="4">
        <v>731</v>
      </c>
      <c r="K2368" s="21" t="str">
        <f t="shared" si="89"/>
        <v>ULTRA Productive iPad Home Screen Setup (Apps, Widgets, Shortcuts, Focus Modes)</v>
      </c>
      <c r="L2368" s="20" t="s">
        <v>175</v>
      </c>
      <c r="M2368" s="4"/>
      <c r="N2368" s="2" t="s">
        <v>132</v>
      </c>
      <c r="O2368" s="2"/>
      <c r="P2368" s="4">
        <v>1</v>
      </c>
      <c r="Q2368" s="2" t="s">
        <v>250</v>
      </c>
      <c r="R2368" s="11">
        <f>SUBTOTAL(3,_xlfn.SINGLE(tbl_file[RowId]))</f>
        <v>1</v>
      </c>
    </row>
    <row r="2369" spans="10:18">
      <c r="J2369" s="4">
        <v>732</v>
      </c>
      <c r="K2369" s="21" t="str">
        <f t="shared" si="89"/>
        <v>ULTRA Productive iPad Home Screen Setup (Apps, Widgets, Shortcuts, Focus Modes)</v>
      </c>
      <c r="L2369" s="20" t="s">
        <v>175</v>
      </c>
      <c r="M2369" s="4"/>
      <c r="N2369" s="2" t="s">
        <v>137</v>
      </c>
      <c r="O2369" s="2"/>
      <c r="P2369" s="4">
        <v>1</v>
      </c>
      <c r="Q2369" s="2" t="s">
        <v>2247</v>
      </c>
      <c r="R2369" s="11">
        <f>SUBTOTAL(3,_xlfn.SINGLE(tbl_file[RowId]))</f>
        <v>1</v>
      </c>
    </row>
    <row r="2370" spans="10:18">
      <c r="J2370" s="4">
        <v>124</v>
      </c>
      <c r="K2370" s="21" t="str">
        <f t="shared" ref="K2370:K2375" si="90">HYPERLINK("obsidian://open?vault=o2&amp;file=Unicoding%20-%20In%20Brief.md","Unicoding - In Brief")</f>
        <v>Unicoding - In Brief</v>
      </c>
      <c r="L2370" s="20" t="s">
        <v>175</v>
      </c>
      <c r="M2370" s="4"/>
      <c r="N2370" s="2" t="s">
        <v>48</v>
      </c>
      <c r="O2370" s="2"/>
      <c r="P2370" s="4">
        <v>1</v>
      </c>
      <c r="Q2370" s="2" t="s">
        <v>2634</v>
      </c>
      <c r="R2370" s="11">
        <f>SUBTOTAL(3,_xlfn.SINGLE(tbl_file[RowId]))</f>
        <v>1</v>
      </c>
    </row>
    <row r="2371" spans="10:18">
      <c r="J2371" s="4">
        <v>125</v>
      </c>
      <c r="K2371" s="21" t="str">
        <f t="shared" si="90"/>
        <v>Unicoding - In Brief</v>
      </c>
      <c r="L2371" s="20" t="s">
        <v>175</v>
      </c>
      <c r="M2371" s="4"/>
      <c r="N2371" s="2" t="s">
        <v>118</v>
      </c>
      <c r="O2371" s="2"/>
      <c r="P2371" s="4">
        <v>1</v>
      </c>
      <c r="Q2371" s="2" t="s">
        <v>1641</v>
      </c>
      <c r="R2371" s="11">
        <f>SUBTOTAL(3,_xlfn.SINGLE(tbl_file[RowId]))</f>
        <v>1</v>
      </c>
    </row>
    <row r="2372" spans="10:18">
      <c r="J2372" s="4">
        <v>126</v>
      </c>
      <c r="K2372" s="21" t="str">
        <f t="shared" si="90"/>
        <v>Unicoding - In Brief</v>
      </c>
      <c r="L2372" s="20" t="s">
        <v>175</v>
      </c>
      <c r="M2372" s="4"/>
      <c r="N2372" s="2" t="s">
        <v>123</v>
      </c>
      <c r="O2372" s="2"/>
      <c r="P2372" s="4">
        <v>1</v>
      </c>
      <c r="Q2372" s="2" t="s">
        <v>1564</v>
      </c>
      <c r="R2372" s="11">
        <f>SUBTOTAL(3,_xlfn.SINGLE(tbl_file[RowId]))</f>
        <v>1</v>
      </c>
    </row>
    <row r="2373" spans="10:18">
      <c r="J2373" s="4">
        <v>127</v>
      </c>
      <c r="K2373" s="21" t="str">
        <f t="shared" si="90"/>
        <v>Unicoding - In Brief</v>
      </c>
      <c r="L2373" s="20" t="s">
        <v>175</v>
      </c>
      <c r="M2373" s="4"/>
      <c r="N2373" s="2" t="s">
        <v>127</v>
      </c>
      <c r="O2373" s="2"/>
      <c r="P2373" s="4">
        <v>1</v>
      </c>
      <c r="Q2373" s="2" t="s">
        <v>1956</v>
      </c>
      <c r="R2373" s="11">
        <f>SUBTOTAL(3,_xlfn.SINGLE(tbl_file[RowId]))</f>
        <v>1</v>
      </c>
    </row>
    <row r="2374" spans="10:18">
      <c r="J2374" s="4">
        <v>128</v>
      </c>
      <c r="K2374" s="21" t="str">
        <f t="shared" si="90"/>
        <v>Unicoding - In Brief</v>
      </c>
      <c r="L2374" s="20" t="s">
        <v>175</v>
      </c>
      <c r="M2374" s="4"/>
      <c r="N2374" s="2" t="s">
        <v>2606</v>
      </c>
      <c r="O2374" s="2"/>
      <c r="P2374" s="4">
        <v>1</v>
      </c>
      <c r="Q2374" s="2" t="s">
        <v>2416</v>
      </c>
      <c r="R2374" s="11">
        <f>SUBTOTAL(3,_xlfn.SINGLE(tbl_file[RowId]))</f>
        <v>1</v>
      </c>
    </row>
    <row r="2375" spans="10:18">
      <c r="J2375" s="4">
        <v>129</v>
      </c>
      <c r="K2375" s="21" t="str">
        <f t="shared" si="90"/>
        <v>Unicoding - In Brief</v>
      </c>
      <c r="L2375" s="20" t="s">
        <v>175</v>
      </c>
      <c r="M2375" s="4"/>
      <c r="N2375" s="2" t="s">
        <v>133</v>
      </c>
      <c r="O2375" s="2"/>
      <c r="P2375" s="4">
        <v>1</v>
      </c>
      <c r="Q2375" s="2" t="s">
        <v>2113</v>
      </c>
      <c r="R2375" s="11">
        <f>SUBTOTAL(3,_xlfn.SINGLE(tbl_file[RowId]))</f>
        <v>1</v>
      </c>
    </row>
    <row r="2376" spans="10:18">
      <c r="J2376" s="4">
        <v>2362</v>
      </c>
      <c r="K2376" s="21" t="str">
        <f>HYPERLINK("obsidian://open?vault=o2&amp;file=Untitled.md","Untitled")</f>
        <v>Untitled</v>
      </c>
      <c r="L2376" s="20" t="s">
        <v>175</v>
      </c>
      <c r="M2376" s="4"/>
      <c r="N2376" s="2" t="s">
        <v>50</v>
      </c>
      <c r="O2376" s="2"/>
      <c r="P2376" s="4">
        <v>1</v>
      </c>
      <c r="Q2376" s="2" t="s">
        <v>1572</v>
      </c>
      <c r="R2376" s="11">
        <f>SUBTOTAL(3,_xlfn.SINGLE(tbl_file[RowId]))</f>
        <v>1</v>
      </c>
    </row>
    <row r="2377" spans="10:18">
      <c r="J2377" s="4">
        <v>2363</v>
      </c>
      <c r="K2377" s="21" t="str">
        <f>HYPERLINK("obsidian://open?vault=o2&amp;file=Untitled.md","Untitled")</f>
        <v>Untitled</v>
      </c>
      <c r="L2377" s="20" t="s">
        <v>175</v>
      </c>
      <c r="M2377" s="4"/>
      <c r="N2377" s="2" t="s">
        <v>127</v>
      </c>
      <c r="O2377" s="2"/>
      <c r="P2377" s="4">
        <v>1</v>
      </c>
      <c r="Q2377" s="2" t="s">
        <v>1958</v>
      </c>
      <c r="R2377" s="11">
        <f>SUBTOTAL(3,_xlfn.SINGLE(tbl_file[RowId]))</f>
        <v>1</v>
      </c>
    </row>
    <row r="2378" spans="10:18">
      <c r="J2378" s="4">
        <v>2364</v>
      </c>
      <c r="K2378" s="21" t="str">
        <f>HYPERLINK("obsidian://open?vault=o2&amp;file=Untitled.md","Untitled")</f>
        <v>Untitled</v>
      </c>
      <c r="L2378" s="20" t="s">
        <v>175</v>
      </c>
      <c r="M2378" s="4"/>
      <c r="N2378" s="2" t="s">
        <v>2606</v>
      </c>
      <c r="O2378" s="2"/>
      <c r="P2378" s="4">
        <v>4</v>
      </c>
      <c r="Q2378" s="2" t="s">
        <v>2642</v>
      </c>
      <c r="R2378" s="11">
        <f>SUBTOTAL(3,_xlfn.SINGLE(tbl_file[RowId]))</f>
        <v>1</v>
      </c>
    </row>
    <row r="2379" spans="10:18">
      <c r="J2379" s="4">
        <v>2365</v>
      </c>
      <c r="K2379" s="21" t="str">
        <f>HYPERLINK("obsidian://open?vault=o2&amp;file=Untitled.md","Untitled")</f>
        <v>Untitled</v>
      </c>
      <c r="L2379" s="20" t="s">
        <v>175</v>
      </c>
      <c r="M2379" s="4"/>
      <c r="N2379" s="2" t="s">
        <v>133</v>
      </c>
      <c r="O2379" s="2"/>
      <c r="P2379" s="4">
        <v>1</v>
      </c>
      <c r="Q2379" s="2" t="s">
        <v>2614</v>
      </c>
      <c r="R2379" s="11">
        <f>SUBTOTAL(3,_xlfn.SINGLE(tbl_file[RowId]))</f>
        <v>1</v>
      </c>
    </row>
    <row r="2380" spans="10:18">
      <c r="J2380" s="4">
        <v>2360</v>
      </c>
      <c r="K2380" s="21" t="str">
        <f>HYPERLINK("obsidian://open?vault=o2&amp;file=Untitled%201.md","Untitled 1")</f>
        <v>Untitled 1</v>
      </c>
      <c r="L2380" s="20" t="s">
        <v>175</v>
      </c>
      <c r="M2380" s="4"/>
      <c r="N2380" s="2" t="s">
        <v>133</v>
      </c>
      <c r="O2380" s="2"/>
      <c r="P2380" s="4">
        <v>1</v>
      </c>
      <c r="Q2380" s="2" t="s">
        <v>2693</v>
      </c>
      <c r="R2380" s="11">
        <f>SUBTOTAL(3,_xlfn.SINGLE(tbl_file[RowId]))</f>
        <v>1</v>
      </c>
    </row>
    <row r="2381" spans="10:18">
      <c r="J2381" s="4">
        <v>2361</v>
      </c>
      <c r="K2381" s="21" t="str">
        <f>HYPERLINK("obsidian://open?vault=o2&amp;file=Untitled%201.md","Untitled 1")</f>
        <v>Untitled 1</v>
      </c>
      <c r="L2381" s="20" t="s">
        <v>175</v>
      </c>
      <c r="M2381" s="4" t="s">
        <v>2626</v>
      </c>
      <c r="N2381" s="2" t="s">
        <v>3028</v>
      </c>
      <c r="O2381" s="2"/>
      <c r="P2381" s="4">
        <v>1</v>
      </c>
      <c r="Q2381" s="2" t="s">
        <v>2253</v>
      </c>
      <c r="R2381" s="11">
        <f>SUBTOTAL(3,_xlfn.SINGLE(tbl_file[RowId]))</f>
        <v>1</v>
      </c>
    </row>
    <row r="2382" spans="10:18">
      <c r="J2382" s="4">
        <v>2366</v>
      </c>
      <c r="K2382" s="21" t="str">
        <f>HYPERLINK("obsidian://open?vault=o2&amp;file=Updating%20the%20vault%20to%20newer%20versions.md","Updating the vault to newer versions")</f>
        <v>Updating the vault to newer versions</v>
      </c>
      <c r="L2382" s="20" t="s">
        <v>175</v>
      </c>
      <c r="M2382" s="4"/>
      <c r="N2382" s="2" t="s">
        <v>50</v>
      </c>
      <c r="O2382" s="2"/>
      <c r="P2382" s="4">
        <v>1</v>
      </c>
      <c r="Q2382" s="2" t="s">
        <v>1432</v>
      </c>
      <c r="R2382" s="11">
        <f>SUBTOTAL(3,_xlfn.SINGLE(tbl_file[RowId]))</f>
        <v>1</v>
      </c>
    </row>
    <row r="2383" spans="10:18">
      <c r="J2383" s="4">
        <v>733</v>
      </c>
      <c r="K2383" s="21" t="str">
        <f t="shared" ref="K2383:K2393" si="91">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L2383" s="20" t="s">
        <v>175</v>
      </c>
      <c r="M2383" s="4"/>
      <c r="N2383" s="2" t="s">
        <v>13</v>
      </c>
      <c r="O2383" s="2"/>
      <c r="P2383" s="4">
        <v>1</v>
      </c>
      <c r="Q2383" s="2" t="s">
        <v>332</v>
      </c>
      <c r="R2383" s="11">
        <f>SUBTOTAL(3,_xlfn.SINGLE(tbl_file[RowId]))</f>
        <v>1</v>
      </c>
    </row>
    <row r="2384" spans="10:18">
      <c r="J2384" s="4">
        <v>734</v>
      </c>
      <c r="K2384" s="21" t="str">
        <f t="shared" si="91"/>
        <v>US Presidents 1789 - 1817 Washington, Adams, Jefferson &amp; Madison Documentary</v>
      </c>
      <c r="L2384" s="20" t="s">
        <v>175</v>
      </c>
      <c r="M2384" s="4"/>
      <c r="N2384" s="2" t="s">
        <v>16</v>
      </c>
      <c r="O2384" s="2"/>
      <c r="P2384" s="4">
        <v>1</v>
      </c>
      <c r="Q2384" s="2" t="s">
        <v>378</v>
      </c>
      <c r="R2384" s="11">
        <f>SUBTOTAL(3,_xlfn.SINGLE(tbl_file[RowId]))</f>
        <v>1</v>
      </c>
    </row>
    <row r="2385" spans="10:18">
      <c r="J2385" s="4">
        <v>735</v>
      </c>
      <c r="K2385" s="21" t="str">
        <f t="shared" si="91"/>
        <v>US Presidents 1789 - 1817 Washington, Adams, Jefferson &amp; Madison Documentary</v>
      </c>
      <c r="L2385" s="20" t="s">
        <v>175</v>
      </c>
      <c r="M2385" s="4"/>
      <c r="N2385" s="2" t="s">
        <v>37</v>
      </c>
      <c r="O2385" s="2"/>
      <c r="P2385" s="4">
        <v>1</v>
      </c>
      <c r="Q2385" s="2" t="s">
        <v>583</v>
      </c>
      <c r="R2385" s="11">
        <f>SUBTOTAL(3,_xlfn.SINGLE(tbl_file[RowId]))</f>
        <v>1</v>
      </c>
    </row>
    <row r="2386" spans="10:18">
      <c r="J2386" s="4">
        <v>736</v>
      </c>
      <c r="K2386" s="21" t="str">
        <f t="shared" si="91"/>
        <v>US Presidents 1789 - 1817 Washington, Adams, Jefferson &amp; Madison Documentary</v>
      </c>
      <c r="L2386" s="20" t="s">
        <v>175</v>
      </c>
      <c r="M2386" s="4"/>
      <c r="N2386" s="2" t="s">
        <v>48</v>
      </c>
      <c r="O2386" s="2"/>
      <c r="P2386" s="4">
        <v>20</v>
      </c>
      <c r="Q2386" s="2" t="s">
        <v>2759</v>
      </c>
      <c r="R2386" s="11">
        <f>SUBTOTAL(3,_xlfn.SINGLE(tbl_file[RowId]))</f>
        <v>1</v>
      </c>
    </row>
    <row r="2387" spans="10:18">
      <c r="J2387" s="4">
        <v>737</v>
      </c>
      <c r="K2387" s="21" t="str">
        <f t="shared" si="91"/>
        <v>US Presidents 1789 - 1817 Washington, Adams, Jefferson &amp; Madison Documentary</v>
      </c>
      <c r="L2387" s="20" t="s">
        <v>175</v>
      </c>
      <c r="M2387" s="4"/>
      <c r="N2387" s="2" t="s">
        <v>119</v>
      </c>
      <c r="O2387" s="2"/>
      <c r="P2387" s="4">
        <v>1</v>
      </c>
      <c r="Q2387" s="2" t="s">
        <v>2760</v>
      </c>
      <c r="R2387" s="11">
        <f>SUBTOTAL(3,_xlfn.SINGLE(tbl_file[RowId]))</f>
        <v>1</v>
      </c>
    </row>
    <row r="2388" spans="10:18">
      <c r="J2388" s="4">
        <v>738</v>
      </c>
      <c r="K2388" s="21" t="str">
        <f t="shared" si="91"/>
        <v>US Presidents 1789 - 1817 Washington, Adams, Jefferson &amp; Madison Documentary</v>
      </c>
      <c r="L2388" s="20" t="s">
        <v>175</v>
      </c>
      <c r="M2388" s="4"/>
      <c r="N2388" s="2" t="s">
        <v>126</v>
      </c>
      <c r="O2388" s="2"/>
      <c r="P2388" s="4">
        <v>1</v>
      </c>
      <c r="Q2388" s="2" t="s">
        <v>2761</v>
      </c>
      <c r="R2388" s="11">
        <f>SUBTOTAL(3,_xlfn.SINGLE(tbl_file[RowId]))</f>
        <v>1</v>
      </c>
    </row>
    <row r="2389" spans="10:18">
      <c r="J2389" s="4">
        <v>739</v>
      </c>
      <c r="K2389" s="21" t="str">
        <f t="shared" si="91"/>
        <v>US Presidents 1789 - 1817 Washington, Adams, Jefferson &amp; Madison Documentary</v>
      </c>
      <c r="L2389" s="20" t="s">
        <v>175</v>
      </c>
      <c r="M2389" s="4"/>
      <c r="N2389" s="2" t="s">
        <v>2606</v>
      </c>
      <c r="O2389" s="2"/>
      <c r="P2389" s="4">
        <v>2</v>
      </c>
      <c r="Q2389" s="2" t="s">
        <v>2762</v>
      </c>
      <c r="R2389" s="11">
        <f>SUBTOTAL(3,_xlfn.SINGLE(tbl_file[RowId]))</f>
        <v>1</v>
      </c>
    </row>
    <row r="2390" spans="10:18">
      <c r="J2390" s="4">
        <v>740</v>
      </c>
      <c r="K2390" s="21" t="str">
        <f t="shared" si="91"/>
        <v>US Presidents 1789 - 1817 Washington, Adams, Jefferson &amp; Madison Documentary</v>
      </c>
      <c r="L2390" s="20" t="s">
        <v>175</v>
      </c>
      <c r="M2390" s="4"/>
      <c r="N2390" s="2" t="s">
        <v>131</v>
      </c>
      <c r="O2390" s="2"/>
      <c r="P2390" s="4">
        <v>1</v>
      </c>
      <c r="Q2390" s="2" t="s">
        <v>2003</v>
      </c>
      <c r="R2390" s="11">
        <f>SUBTOTAL(3,_xlfn.SINGLE(tbl_file[RowId]))</f>
        <v>1</v>
      </c>
    </row>
    <row r="2391" spans="10:18">
      <c r="J2391" s="4">
        <v>741</v>
      </c>
      <c r="K2391" s="21" t="str">
        <f t="shared" si="91"/>
        <v>US Presidents 1789 - 1817 Washington, Adams, Jefferson &amp; Madison Documentary</v>
      </c>
      <c r="L2391" s="20" t="s">
        <v>175</v>
      </c>
      <c r="M2391" s="4"/>
      <c r="N2391" s="2" t="s">
        <v>132</v>
      </c>
      <c r="O2391" s="2"/>
      <c r="P2391" s="4">
        <v>1</v>
      </c>
      <c r="Q2391" s="2" t="s">
        <v>2089</v>
      </c>
      <c r="R2391" s="11">
        <f>SUBTOTAL(3,_xlfn.SINGLE(tbl_file[RowId]))</f>
        <v>1</v>
      </c>
    </row>
    <row r="2392" spans="10:18">
      <c r="J2392" s="4">
        <v>742</v>
      </c>
      <c r="K2392" s="21" t="str">
        <f t="shared" si="91"/>
        <v>US Presidents 1789 - 1817 Washington, Adams, Jefferson &amp; Madison Documentary</v>
      </c>
      <c r="L2392" s="20" t="s">
        <v>175</v>
      </c>
      <c r="M2392" s="4"/>
      <c r="N2392" s="2" t="s">
        <v>137</v>
      </c>
      <c r="O2392" s="2"/>
      <c r="P2392" s="4">
        <v>1</v>
      </c>
      <c r="Q2392" s="2" t="s">
        <v>2233</v>
      </c>
      <c r="R2392" s="11">
        <f>SUBTOTAL(3,_xlfn.SINGLE(tbl_file[RowId]))</f>
        <v>1</v>
      </c>
    </row>
    <row r="2393" spans="10:18">
      <c r="J2393" s="4">
        <v>743</v>
      </c>
      <c r="K2393" s="21" t="str">
        <f t="shared" si="91"/>
        <v>US Presidents 1789 - 1817 Washington, Adams, Jefferson &amp; Madison Documentary</v>
      </c>
      <c r="L2393" s="20" t="s">
        <v>175</v>
      </c>
      <c r="M2393" s="4" t="s">
        <v>2626</v>
      </c>
      <c r="N2393" s="2" t="s">
        <v>2606</v>
      </c>
      <c r="O2393" s="2"/>
      <c r="P2393" s="4">
        <v>3</v>
      </c>
      <c r="Q2393" s="2" t="s">
        <v>2763</v>
      </c>
      <c r="R2393" s="11">
        <f>SUBTOTAL(3,_xlfn.SINGLE(tbl_file[RowId]))</f>
        <v>1</v>
      </c>
    </row>
    <row r="2394" spans="10:18">
      <c r="J2394" s="4">
        <v>2367</v>
      </c>
      <c r="K2394" s="21" t="str">
        <f>HYPERLINK("obsidian://open?vault=o2&amp;file=Use%20resource%20summaries%20as%20a%20foundation%20for%20your%20own%20thinking%20and%20creating.md","Use resource summaries as a foundation for your own thinking and creating")</f>
        <v>Use resource summaries as a foundation for your own thinking and creating</v>
      </c>
      <c r="L2394" s="20" t="s">
        <v>175</v>
      </c>
      <c r="M2394" s="4"/>
      <c r="N2394" s="2" t="s">
        <v>50</v>
      </c>
      <c r="O2394" s="2"/>
      <c r="P2394" s="4">
        <v>1</v>
      </c>
      <c r="Q2394" s="2" t="s">
        <v>1484</v>
      </c>
      <c r="R2394" s="11">
        <f>SUBTOTAL(3,_xlfn.SINGLE(tbl_file[RowId]))</f>
        <v>1</v>
      </c>
    </row>
    <row r="2395" spans="10:18">
      <c r="J2395" s="4">
        <v>1176</v>
      </c>
      <c r="K2395" s="21" t="str">
        <f t="shared" ref="K2395:K2400" si="92">HYPERLINK("obsidian://open?vault=o2&amp;file=Useful%20Browser%20Dev%20Mode%20Tips%20%26%20Tricks.md","Useful Browser Dev Mode Tips &amp; Tricks")</f>
        <v>Useful Browser Dev Mode Tips &amp; Tricks</v>
      </c>
      <c r="L2395" s="20" t="s">
        <v>175</v>
      </c>
      <c r="M2395" s="4"/>
      <c r="N2395" s="2" t="s">
        <v>48</v>
      </c>
      <c r="O2395" s="2"/>
      <c r="P2395" s="4">
        <v>1</v>
      </c>
      <c r="Q2395" s="2" t="s">
        <v>2634</v>
      </c>
      <c r="R2395" s="11">
        <f>SUBTOTAL(3,_xlfn.SINGLE(tbl_file[RowId]))</f>
        <v>1</v>
      </c>
    </row>
    <row r="2396" spans="10:18">
      <c r="J2396" s="4">
        <v>1177</v>
      </c>
      <c r="K2396" s="21" t="str">
        <f t="shared" si="92"/>
        <v>Useful Browser Dev Mode Tips &amp; Tricks</v>
      </c>
      <c r="L2396" s="20" t="s">
        <v>175</v>
      </c>
      <c r="M2396" s="4"/>
      <c r="N2396" s="2" t="s">
        <v>118</v>
      </c>
      <c r="O2396" s="2"/>
      <c r="P2396" s="4">
        <v>1</v>
      </c>
      <c r="Q2396" s="2" t="s">
        <v>1641</v>
      </c>
      <c r="R2396" s="11">
        <f>SUBTOTAL(3,_xlfn.SINGLE(tbl_file[RowId]))</f>
        <v>1</v>
      </c>
    </row>
    <row r="2397" spans="10:18">
      <c r="J2397" s="4">
        <v>1178</v>
      </c>
      <c r="K2397" s="21" t="str">
        <f t="shared" si="92"/>
        <v>Useful Browser Dev Mode Tips &amp; Tricks</v>
      </c>
      <c r="L2397" s="20" t="s">
        <v>175</v>
      </c>
      <c r="M2397" s="4"/>
      <c r="N2397" s="2" t="s">
        <v>123</v>
      </c>
      <c r="O2397" s="2"/>
      <c r="P2397" s="4">
        <v>1</v>
      </c>
      <c r="Q2397" s="2" t="s">
        <v>1564</v>
      </c>
      <c r="R2397" s="11">
        <f>SUBTOTAL(3,_xlfn.SINGLE(tbl_file[RowId]))</f>
        <v>1</v>
      </c>
    </row>
    <row r="2398" spans="10:18">
      <c r="J2398" s="4">
        <v>1179</v>
      </c>
      <c r="K2398" s="21" t="str">
        <f t="shared" si="92"/>
        <v>Useful Browser Dev Mode Tips &amp; Tricks</v>
      </c>
      <c r="L2398" s="20" t="s">
        <v>175</v>
      </c>
      <c r="M2398" s="4"/>
      <c r="N2398" s="2" t="s">
        <v>127</v>
      </c>
      <c r="O2398" s="2"/>
      <c r="P2398" s="4">
        <v>1</v>
      </c>
      <c r="Q2398" s="2" t="s">
        <v>1956</v>
      </c>
      <c r="R2398" s="11">
        <f>SUBTOTAL(3,_xlfn.SINGLE(tbl_file[RowId]))</f>
        <v>1</v>
      </c>
    </row>
    <row r="2399" spans="10:18">
      <c r="J2399" s="4">
        <v>1180</v>
      </c>
      <c r="K2399" s="21" t="str">
        <f t="shared" si="92"/>
        <v>Useful Browser Dev Mode Tips &amp; Tricks</v>
      </c>
      <c r="L2399" s="20" t="s">
        <v>175</v>
      </c>
      <c r="M2399" s="4"/>
      <c r="N2399" s="2" t="s">
        <v>2606</v>
      </c>
      <c r="O2399" s="2"/>
      <c r="P2399" s="4">
        <v>1</v>
      </c>
      <c r="Q2399" s="2" t="s">
        <v>2416</v>
      </c>
      <c r="R2399" s="11">
        <f>SUBTOTAL(3,_xlfn.SINGLE(tbl_file[RowId]))</f>
        <v>1</v>
      </c>
    </row>
    <row r="2400" spans="10:18">
      <c r="J2400" s="4">
        <v>1181</v>
      </c>
      <c r="K2400" s="21" t="str">
        <f t="shared" si="92"/>
        <v>Useful Browser Dev Mode Tips &amp; Tricks</v>
      </c>
      <c r="L2400" s="20" t="s">
        <v>175</v>
      </c>
      <c r="M2400" s="4"/>
      <c r="N2400" s="2" t="s">
        <v>133</v>
      </c>
      <c r="O2400" s="2"/>
      <c r="P2400" s="4">
        <v>1</v>
      </c>
      <c r="Q2400" s="2" t="s">
        <v>2113</v>
      </c>
      <c r="R2400" s="11">
        <f>SUBTOTAL(3,_xlfn.SINGLE(tbl_file[RowId]))</f>
        <v>1</v>
      </c>
    </row>
    <row r="2401" spans="10:18">
      <c r="J2401" s="4">
        <v>294</v>
      </c>
      <c r="K2401" s="21" t="str">
        <f>HYPERLINK("obsidian://open?vault=o2&amp;file=Useful%20Networking%20Commands.md","Useful Networking Commands")</f>
        <v>Useful Networking Commands</v>
      </c>
      <c r="L2401" s="20" t="s">
        <v>175</v>
      </c>
      <c r="M2401" s="4"/>
      <c r="N2401" s="2" t="s">
        <v>50</v>
      </c>
      <c r="O2401" s="2"/>
      <c r="P2401" s="4">
        <v>2</v>
      </c>
      <c r="Q2401" s="2" t="s">
        <v>2660</v>
      </c>
      <c r="R2401" s="11">
        <f>SUBTOTAL(3,_xlfn.SINGLE(tbl_file[RowId]))</f>
        <v>1</v>
      </c>
    </row>
    <row r="2402" spans="10:18">
      <c r="J2402" s="4">
        <v>295</v>
      </c>
      <c r="K2402" s="21" t="str">
        <f>HYPERLINK("obsidian://open?vault=o2&amp;file=Useful%20Networking%20Commands.md","Useful Networking Commands")</f>
        <v>Useful Networking Commands</v>
      </c>
      <c r="L2402" s="20" t="s">
        <v>175</v>
      </c>
      <c r="M2402" s="4"/>
      <c r="N2402" s="2" t="s">
        <v>2606</v>
      </c>
      <c r="O2402" s="2"/>
      <c r="P2402" s="4">
        <v>2</v>
      </c>
      <c r="Q2402" s="2" t="s">
        <v>2661</v>
      </c>
      <c r="R2402" s="11">
        <f>SUBTOTAL(3,_xlfn.SINGLE(tbl_file[RowId]))</f>
        <v>1</v>
      </c>
    </row>
    <row r="2403" spans="10:18">
      <c r="J2403" s="4">
        <v>296</v>
      </c>
      <c r="K2403" s="21" t="str">
        <f>HYPERLINK("obsidian://open?vault=o2&amp;file=Useful%20Networking%20Commands.md","Useful Networking Commands")</f>
        <v>Useful Networking Commands</v>
      </c>
      <c r="L2403" s="20" t="s">
        <v>175</v>
      </c>
      <c r="M2403" s="4"/>
      <c r="N2403" s="2" t="s">
        <v>133</v>
      </c>
      <c r="O2403" s="2"/>
      <c r="P2403" s="4">
        <v>1</v>
      </c>
      <c r="Q2403" s="2" t="s">
        <v>2111</v>
      </c>
      <c r="R2403" s="11">
        <f>SUBTOTAL(3,_xlfn.SINGLE(tbl_file[RowId]))</f>
        <v>1</v>
      </c>
    </row>
    <row r="2404" spans="10:18">
      <c r="J2404" s="4">
        <v>130</v>
      </c>
      <c r="K2404" s="21" t="str">
        <f>HYPERLINK("obsidian://open?vault=o2&amp;file=Useful%20Python%20Notes.md","Useful Python Notes")</f>
        <v>Useful Python Notes</v>
      </c>
      <c r="L2404" s="20" t="s">
        <v>175</v>
      </c>
      <c r="M2404" s="4"/>
      <c r="N2404" s="2" t="s">
        <v>118</v>
      </c>
      <c r="O2404" s="2"/>
      <c r="P2404" s="4">
        <v>1</v>
      </c>
      <c r="Q2404" s="2" t="s">
        <v>1641</v>
      </c>
      <c r="R2404" s="11">
        <f>SUBTOTAL(3,_xlfn.SINGLE(tbl_file[RowId]))</f>
        <v>1</v>
      </c>
    </row>
    <row r="2405" spans="10:18">
      <c r="J2405" s="4">
        <v>131</v>
      </c>
      <c r="K2405" s="21" t="str">
        <f>HYPERLINK("obsidian://open?vault=o2&amp;file=Useful%20Python%20Notes.md","Useful Python Notes")</f>
        <v>Useful Python Notes</v>
      </c>
      <c r="L2405" s="20" t="s">
        <v>175</v>
      </c>
      <c r="M2405" s="4"/>
      <c r="N2405" s="2" t="s">
        <v>123</v>
      </c>
      <c r="O2405" s="2"/>
      <c r="P2405" s="4">
        <v>1</v>
      </c>
      <c r="Q2405" s="2" t="s">
        <v>1564</v>
      </c>
      <c r="R2405" s="11">
        <f>SUBTOTAL(3,_xlfn.SINGLE(tbl_file[RowId]))</f>
        <v>1</v>
      </c>
    </row>
    <row r="2406" spans="10:18">
      <c r="J2406" s="4">
        <v>132</v>
      </c>
      <c r="K2406" s="21" t="str">
        <f>HYPERLINK("obsidian://open?vault=o2&amp;file=Useful%20Python%20Notes.md","Useful Python Notes")</f>
        <v>Useful Python Notes</v>
      </c>
      <c r="L2406" s="20" t="s">
        <v>175</v>
      </c>
      <c r="M2406" s="4"/>
      <c r="N2406" s="2" t="s">
        <v>127</v>
      </c>
      <c r="O2406" s="2"/>
      <c r="P2406" s="4">
        <v>1</v>
      </c>
      <c r="Q2406" s="2" t="s">
        <v>1956</v>
      </c>
      <c r="R2406" s="11">
        <f>SUBTOTAL(3,_xlfn.SINGLE(tbl_file[RowId]))</f>
        <v>1</v>
      </c>
    </row>
    <row r="2407" spans="10:18">
      <c r="J2407" s="4">
        <v>133</v>
      </c>
      <c r="K2407" s="21" t="str">
        <f>HYPERLINK("obsidian://open?vault=o2&amp;file=Useful%20Python%20Notes.md","Useful Python Notes")</f>
        <v>Useful Python Notes</v>
      </c>
      <c r="L2407" s="20" t="s">
        <v>175</v>
      </c>
      <c r="M2407" s="4"/>
      <c r="N2407" s="2" t="s">
        <v>2606</v>
      </c>
      <c r="O2407" s="2"/>
      <c r="P2407" s="4">
        <v>1</v>
      </c>
      <c r="Q2407" s="2" t="s">
        <v>2416</v>
      </c>
      <c r="R2407" s="11">
        <f>SUBTOTAL(3,_xlfn.SINGLE(tbl_file[RowId]))</f>
        <v>1</v>
      </c>
    </row>
    <row r="2408" spans="10:18">
      <c r="J2408" s="4">
        <v>134</v>
      </c>
      <c r="K2408" s="21" t="str">
        <f>HYPERLINK("obsidian://open?vault=o2&amp;file=Useful%20Python%20Notes.md","Useful Python Notes")</f>
        <v>Useful Python Notes</v>
      </c>
      <c r="L2408" s="20" t="s">
        <v>175</v>
      </c>
      <c r="M2408" s="4"/>
      <c r="N2408" s="2" t="s">
        <v>133</v>
      </c>
      <c r="O2408" s="2"/>
      <c r="P2408" s="4">
        <v>1</v>
      </c>
      <c r="Q2408" s="2" t="s">
        <v>2113</v>
      </c>
      <c r="R2408" s="11">
        <f>SUBTOTAL(3,_xlfn.SINGLE(tbl_file[RowId]))</f>
        <v>1</v>
      </c>
    </row>
    <row r="2409" spans="10:18">
      <c r="J2409" s="4">
        <v>1182</v>
      </c>
      <c r="K2409" s="21" t="str">
        <f>HYPERLINK("obsidian://open?vault=o2&amp;file=Useful%20Regex%20Examples.md","Useful Regex Examples")</f>
        <v>Useful Regex Examples</v>
      </c>
      <c r="L2409" s="20" t="s">
        <v>175</v>
      </c>
      <c r="M2409" s="4"/>
      <c r="N2409" s="2" t="s">
        <v>118</v>
      </c>
      <c r="O2409" s="2"/>
      <c r="P2409" s="4">
        <v>1</v>
      </c>
      <c r="Q2409" s="2" t="s">
        <v>1641</v>
      </c>
      <c r="R2409" s="11">
        <f>SUBTOTAL(3,_xlfn.SINGLE(tbl_file[RowId]))</f>
        <v>1</v>
      </c>
    </row>
    <row r="2410" spans="10:18">
      <c r="J2410" s="4">
        <v>1183</v>
      </c>
      <c r="K2410" s="21" t="str">
        <f>HYPERLINK("obsidian://open?vault=o2&amp;file=Useful%20Regex%20Examples.md","Useful Regex Examples")</f>
        <v>Useful Regex Examples</v>
      </c>
      <c r="L2410" s="20" t="s">
        <v>175</v>
      </c>
      <c r="M2410" s="4"/>
      <c r="N2410" s="2" t="s">
        <v>123</v>
      </c>
      <c r="O2410" s="2"/>
      <c r="P2410" s="4">
        <v>1</v>
      </c>
      <c r="Q2410" s="2" t="s">
        <v>1564</v>
      </c>
      <c r="R2410" s="11">
        <f>SUBTOTAL(3,_xlfn.SINGLE(tbl_file[RowId]))</f>
        <v>1</v>
      </c>
    </row>
    <row r="2411" spans="10:18">
      <c r="J2411" s="4">
        <v>1184</v>
      </c>
      <c r="K2411" s="21" t="str">
        <f>HYPERLINK("obsidian://open?vault=o2&amp;file=Useful%20Regex%20Examples.md","Useful Regex Examples")</f>
        <v>Useful Regex Examples</v>
      </c>
      <c r="L2411" s="20" t="s">
        <v>175</v>
      </c>
      <c r="M2411" s="4"/>
      <c r="N2411" s="2" t="s">
        <v>127</v>
      </c>
      <c r="O2411" s="2"/>
      <c r="P2411" s="4">
        <v>1</v>
      </c>
      <c r="Q2411" s="2" t="s">
        <v>1956</v>
      </c>
      <c r="R2411" s="11">
        <f>SUBTOTAL(3,_xlfn.SINGLE(tbl_file[RowId]))</f>
        <v>1</v>
      </c>
    </row>
    <row r="2412" spans="10:18">
      <c r="J2412" s="4">
        <v>1185</v>
      </c>
      <c r="K2412" s="21" t="str">
        <f>HYPERLINK("obsidian://open?vault=o2&amp;file=Useful%20Regex%20Examples.md","Useful Regex Examples")</f>
        <v>Useful Regex Examples</v>
      </c>
      <c r="L2412" s="20" t="s">
        <v>175</v>
      </c>
      <c r="M2412" s="4"/>
      <c r="N2412" s="2" t="s">
        <v>2606</v>
      </c>
      <c r="O2412" s="2"/>
      <c r="P2412" s="4">
        <v>1</v>
      </c>
      <c r="Q2412" s="2" t="s">
        <v>2416</v>
      </c>
      <c r="R2412" s="11">
        <f>SUBTOTAL(3,_xlfn.SINGLE(tbl_file[RowId]))</f>
        <v>1</v>
      </c>
    </row>
    <row r="2413" spans="10:18">
      <c r="J2413" s="4">
        <v>1186</v>
      </c>
      <c r="K2413" s="21" t="str">
        <f>HYPERLINK("obsidian://open?vault=o2&amp;file=Useful%20Regex%20Examples.md","Useful Regex Examples")</f>
        <v>Useful Regex Examples</v>
      </c>
      <c r="L2413" s="20" t="s">
        <v>175</v>
      </c>
      <c r="M2413" s="4"/>
      <c r="N2413" s="2" t="s">
        <v>133</v>
      </c>
      <c r="O2413" s="2"/>
      <c r="P2413" s="4">
        <v>1</v>
      </c>
      <c r="Q2413" s="2" t="s">
        <v>2113</v>
      </c>
      <c r="R2413" s="11">
        <f>SUBTOTAL(3,_xlfn.SINGLE(tbl_file[RowId]))</f>
        <v>1</v>
      </c>
    </row>
    <row r="2414" spans="10:18">
      <c r="J2414" s="4">
        <v>1319</v>
      </c>
      <c r="K2414" s="21" t="str">
        <f t="shared" ref="K2414:K2419" si="93">HYPERLINK("obsidian://open?vault=o2&amp;file=Useful%20Words.md","Useful Words")</f>
        <v>Useful Words</v>
      </c>
      <c r="L2414" s="20" t="s">
        <v>175</v>
      </c>
      <c r="M2414" s="4"/>
      <c r="N2414" s="2" t="s">
        <v>48</v>
      </c>
      <c r="O2414" s="2"/>
      <c r="P2414" s="4">
        <v>1</v>
      </c>
      <c r="Q2414" s="2" t="s">
        <v>2634</v>
      </c>
      <c r="R2414" s="11">
        <f>SUBTOTAL(3,_xlfn.SINGLE(tbl_file[RowId]))</f>
        <v>1</v>
      </c>
    </row>
    <row r="2415" spans="10:18">
      <c r="J2415" s="4">
        <v>1320</v>
      </c>
      <c r="K2415" s="21" t="str">
        <f t="shared" si="93"/>
        <v>Useful Words</v>
      </c>
      <c r="L2415" s="20" t="s">
        <v>175</v>
      </c>
      <c r="M2415" s="4"/>
      <c r="N2415" s="2" t="s">
        <v>118</v>
      </c>
      <c r="O2415" s="2"/>
      <c r="P2415" s="4">
        <v>1</v>
      </c>
      <c r="Q2415" s="2" t="s">
        <v>1641</v>
      </c>
      <c r="R2415" s="11">
        <f>SUBTOTAL(3,_xlfn.SINGLE(tbl_file[RowId]))</f>
        <v>1</v>
      </c>
    </row>
    <row r="2416" spans="10:18">
      <c r="J2416" s="4">
        <v>1321</v>
      </c>
      <c r="K2416" s="21" t="str">
        <f t="shared" si="93"/>
        <v>Useful Words</v>
      </c>
      <c r="L2416" s="20" t="s">
        <v>175</v>
      </c>
      <c r="M2416" s="4"/>
      <c r="N2416" s="2" t="s">
        <v>123</v>
      </c>
      <c r="O2416" s="2"/>
      <c r="P2416" s="4">
        <v>1</v>
      </c>
      <c r="Q2416" s="2" t="s">
        <v>1564</v>
      </c>
      <c r="R2416" s="11">
        <f>SUBTOTAL(3,_xlfn.SINGLE(tbl_file[RowId]))</f>
        <v>1</v>
      </c>
    </row>
    <row r="2417" spans="10:18">
      <c r="J2417" s="4">
        <v>1322</v>
      </c>
      <c r="K2417" s="21" t="str">
        <f t="shared" si="93"/>
        <v>Useful Words</v>
      </c>
      <c r="L2417" s="20" t="s">
        <v>175</v>
      </c>
      <c r="M2417" s="4"/>
      <c r="N2417" s="2" t="s">
        <v>127</v>
      </c>
      <c r="O2417" s="2"/>
      <c r="P2417" s="4">
        <v>1</v>
      </c>
      <c r="Q2417" s="2" t="s">
        <v>1956</v>
      </c>
      <c r="R2417" s="11">
        <f>SUBTOTAL(3,_xlfn.SINGLE(tbl_file[RowId]))</f>
        <v>1</v>
      </c>
    </row>
    <row r="2418" spans="10:18">
      <c r="J2418" s="4">
        <v>1323</v>
      </c>
      <c r="K2418" s="21" t="str">
        <f t="shared" si="93"/>
        <v>Useful Words</v>
      </c>
      <c r="L2418" s="20" t="s">
        <v>175</v>
      </c>
      <c r="M2418" s="4"/>
      <c r="N2418" s="2" t="s">
        <v>2606</v>
      </c>
      <c r="O2418" s="2"/>
      <c r="P2418" s="4">
        <v>1</v>
      </c>
      <c r="Q2418" s="2" t="s">
        <v>2416</v>
      </c>
      <c r="R2418" s="11">
        <f>SUBTOTAL(3,_xlfn.SINGLE(tbl_file[RowId]))</f>
        <v>1</v>
      </c>
    </row>
    <row r="2419" spans="10:18">
      <c r="J2419" s="4">
        <v>1324</v>
      </c>
      <c r="K2419" s="21" t="str">
        <f t="shared" si="93"/>
        <v>Useful Words</v>
      </c>
      <c r="L2419" s="20" t="s">
        <v>175</v>
      </c>
      <c r="M2419" s="4"/>
      <c r="N2419" s="2" t="s">
        <v>133</v>
      </c>
      <c r="O2419" s="2"/>
      <c r="P2419" s="4">
        <v>1</v>
      </c>
      <c r="Q2419" s="2" t="s">
        <v>2113</v>
      </c>
      <c r="R2419" s="11">
        <f>SUBTOTAL(3,_xlfn.SINGLE(tbl_file[RowId]))</f>
        <v>1</v>
      </c>
    </row>
    <row r="2420" spans="10:18">
      <c r="J2420" s="4">
        <v>2368</v>
      </c>
      <c r="K2420" s="21" t="str">
        <f>HYPERLINK("obsidian://open?vault=o2&amp;file=Username%20OSINT.md","Username OSINT")</f>
        <v>Username OSINT</v>
      </c>
      <c r="L2420" s="20" t="s">
        <v>175</v>
      </c>
      <c r="M2420" s="4"/>
      <c r="N2420" s="2" t="s">
        <v>50</v>
      </c>
      <c r="O2420" s="2"/>
      <c r="P2420" s="4">
        <v>1</v>
      </c>
      <c r="Q2420" s="2" t="s">
        <v>1448</v>
      </c>
      <c r="R2420" s="11">
        <f>SUBTOTAL(3,_xlfn.SINGLE(tbl_file[RowId]))</f>
        <v>1</v>
      </c>
    </row>
    <row r="2421" spans="10:18">
      <c r="J2421" s="4">
        <v>2369</v>
      </c>
      <c r="K2421" s="21" t="str">
        <f>HYPERLINK("obsidian://open?vault=o2&amp;file=Username%20OSINT.md","Username OSINT")</f>
        <v>Username OSINT</v>
      </c>
      <c r="L2421" s="20" t="s">
        <v>175</v>
      </c>
      <c r="M2421" s="4"/>
      <c r="N2421" s="2" t="s">
        <v>2606</v>
      </c>
      <c r="O2421" s="2"/>
      <c r="P2421" s="4">
        <v>2</v>
      </c>
      <c r="Q2421" s="2" t="s">
        <v>3084</v>
      </c>
      <c r="R2421" s="11">
        <f>SUBTOTAL(3,_xlfn.SINGLE(tbl_file[RowId]))</f>
        <v>1</v>
      </c>
    </row>
    <row r="2422" spans="10:18">
      <c r="J2422" s="4">
        <v>2370</v>
      </c>
      <c r="K2422" s="21" t="str">
        <f>HYPERLINK("obsidian://open?vault=o2&amp;file=Username%20OSINT.md","Username OSINT")</f>
        <v>Username OSINT</v>
      </c>
      <c r="L2422" s="20" t="s">
        <v>175</v>
      </c>
      <c r="M2422" s="4"/>
      <c r="N2422" s="2" t="s">
        <v>133</v>
      </c>
      <c r="O2422" s="2"/>
      <c r="P2422" s="4">
        <v>1</v>
      </c>
      <c r="Q2422" s="2" t="s">
        <v>2622</v>
      </c>
      <c r="R2422" s="11">
        <f>SUBTOTAL(3,_xlfn.SINGLE(tbl_file[RowId]))</f>
        <v>1</v>
      </c>
    </row>
    <row r="2423" spans="10:18">
      <c r="J2423" s="4">
        <v>2371</v>
      </c>
      <c r="K2423" s="21" t="str">
        <f>HYPERLINK("obsidian://open?vault=o2&amp;file=Vault%20Features.md","Vault Features")</f>
        <v>Vault Features</v>
      </c>
      <c r="L2423" s="20" t="s">
        <v>175</v>
      </c>
      <c r="M2423" s="4"/>
      <c r="N2423" s="2" t="s">
        <v>50</v>
      </c>
      <c r="O2423" s="2"/>
      <c r="P2423" s="4">
        <v>1</v>
      </c>
      <c r="Q2423" s="2" t="s">
        <v>1432</v>
      </c>
      <c r="R2423" s="11">
        <f>SUBTOTAL(3,_xlfn.SINGLE(tbl_file[RowId]))</f>
        <v>1</v>
      </c>
    </row>
    <row r="2424" spans="10:18">
      <c r="J2424" s="4">
        <v>2372</v>
      </c>
      <c r="K2424" s="21" t="str">
        <f t="shared" ref="K2424:K2429" si="94">HYPERLINK("obsidian://open?vault=o2&amp;file=Vault%20Overview.md","Vault Overview")</f>
        <v>Vault Overview</v>
      </c>
      <c r="L2424" s="20" t="s">
        <v>175</v>
      </c>
      <c r="M2424" s="4"/>
      <c r="N2424" s="2" t="s">
        <v>50</v>
      </c>
      <c r="O2424" s="2"/>
      <c r="P2424" s="4">
        <v>2</v>
      </c>
      <c r="Q2424" s="2" t="s">
        <v>3168</v>
      </c>
      <c r="R2424" s="11">
        <f>SUBTOTAL(3,_xlfn.SINGLE(tbl_file[RowId]))</f>
        <v>1</v>
      </c>
    </row>
    <row r="2425" spans="10:18">
      <c r="J2425" s="4">
        <v>2373</v>
      </c>
      <c r="K2425" s="21" t="str">
        <f t="shared" si="94"/>
        <v>Vault Overview</v>
      </c>
      <c r="L2425" s="20" t="s">
        <v>175</v>
      </c>
      <c r="M2425" s="4"/>
      <c r="N2425" s="2" t="s">
        <v>118</v>
      </c>
      <c r="O2425" s="2"/>
      <c r="P2425" s="4">
        <v>1</v>
      </c>
      <c r="Q2425" s="2" t="s">
        <v>1641</v>
      </c>
      <c r="R2425" s="11">
        <f>SUBTOTAL(3,_xlfn.SINGLE(tbl_file[RowId]))</f>
        <v>1</v>
      </c>
    </row>
    <row r="2426" spans="10:18">
      <c r="J2426" s="4">
        <v>2374</v>
      </c>
      <c r="K2426" s="21" t="str">
        <f t="shared" si="94"/>
        <v>Vault Overview</v>
      </c>
      <c r="L2426" s="20" t="s">
        <v>175</v>
      </c>
      <c r="M2426" s="4"/>
      <c r="N2426" s="2" t="s">
        <v>123</v>
      </c>
      <c r="O2426" s="2"/>
      <c r="P2426" s="4">
        <v>1</v>
      </c>
      <c r="Q2426" s="2" t="s">
        <v>1564</v>
      </c>
      <c r="R2426" s="11">
        <f>SUBTOTAL(3,_xlfn.SINGLE(tbl_file[RowId]))</f>
        <v>1</v>
      </c>
    </row>
    <row r="2427" spans="10:18">
      <c r="J2427" s="4">
        <v>2375</v>
      </c>
      <c r="K2427" s="21" t="str">
        <f t="shared" si="94"/>
        <v>Vault Overview</v>
      </c>
      <c r="L2427" s="20" t="s">
        <v>175</v>
      </c>
      <c r="M2427" s="4"/>
      <c r="N2427" s="2" t="s">
        <v>127</v>
      </c>
      <c r="O2427" s="2"/>
      <c r="P2427" s="4">
        <v>1</v>
      </c>
      <c r="Q2427" s="2" t="s">
        <v>1968</v>
      </c>
      <c r="R2427" s="11">
        <f>SUBTOTAL(3,_xlfn.SINGLE(tbl_file[RowId]))</f>
        <v>1</v>
      </c>
    </row>
    <row r="2428" spans="10:18">
      <c r="J2428" s="4">
        <v>2376</v>
      </c>
      <c r="K2428" s="21" t="str">
        <f t="shared" si="94"/>
        <v>Vault Overview</v>
      </c>
      <c r="L2428" s="20" t="s">
        <v>175</v>
      </c>
      <c r="M2428" s="4"/>
      <c r="N2428" s="2" t="s">
        <v>129</v>
      </c>
      <c r="O2428" s="2"/>
      <c r="P2428" s="4">
        <v>1</v>
      </c>
      <c r="Q2428" s="2" t="s">
        <v>1430</v>
      </c>
      <c r="R2428" s="11">
        <f>SUBTOTAL(3,_xlfn.SINGLE(tbl_file[RowId]))</f>
        <v>1</v>
      </c>
    </row>
    <row r="2429" spans="10:18">
      <c r="J2429" s="4">
        <v>2377</v>
      </c>
      <c r="K2429" s="21" t="str">
        <f t="shared" si="94"/>
        <v>Vault Overview</v>
      </c>
      <c r="L2429" s="20" t="s">
        <v>175</v>
      </c>
      <c r="M2429" s="4"/>
      <c r="N2429" s="2" t="s">
        <v>2606</v>
      </c>
      <c r="O2429" s="2"/>
      <c r="P2429" s="4">
        <v>3</v>
      </c>
      <c r="Q2429" s="2" t="s">
        <v>3169</v>
      </c>
      <c r="R2429" s="11">
        <f>SUBTOTAL(3,_xlfn.SINGLE(tbl_file[RowId]))</f>
        <v>1</v>
      </c>
    </row>
    <row r="2430" spans="10:18">
      <c r="J2430" s="4">
        <v>2378</v>
      </c>
      <c r="K2430" s="21" t="str">
        <f>HYPERLINK("obsidian://open?vault=o2&amp;file=Vault%20Troubleshooting.md","Vault Troubleshooting")</f>
        <v>Vault Troubleshooting</v>
      </c>
      <c r="L2430" s="20" t="s">
        <v>175</v>
      </c>
      <c r="M2430" s="4"/>
      <c r="N2430" s="2" t="s">
        <v>50</v>
      </c>
      <c r="O2430" s="2"/>
      <c r="P2430" s="4">
        <v>1</v>
      </c>
      <c r="Q2430" s="2" t="s">
        <v>1574</v>
      </c>
      <c r="R2430" s="11">
        <f>SUBTOTAL(3,_xlfn.SINGLE(tbl_file[RowId]))</f>
        <v>1</v>
      </c>
    </row>
    <row r="2431" spans="10:18">
      <c r="J2431" s="4">
        <v>2379</v>
      </c>
      <c r="K2431" s="21" t="str">
        <f>HYPERLINK("obsidian://open?vault=o2&amp;file=Vault%20Troubleshooting.md","Vault Troubleshooting")</f>
        <v>Vault Troubleshooting</v>
      </c>
      <c r="L2431" s="20" t="s">
        <v>175</v>
      </c>
      <c r="M2431" s="4"/>
      <c r="N2431" s="2" t="s">
        <v>127</v>
      </c>
      <c r="O2431" s="2"/>
      <c r="P2431" s="4">
        <v>1</v>
      </c>
      <c r="Q2431" s="2" t="s">
        <v>1958</v>
      </c>
      <c r="R2431" s="11">
        <f>SUBTOTAL(3,_xlfn.SINGLE(tbl_file[RowId]))</f>
        <v>1</v>
      </c>
    </row>
    <row r="2432" spans="10:18">
      <c r="J2432" s="4">
        <v>2380</v>
      </c>
      <c r="K2432" s="21" t="str">
        <f>HYPERLINK("obsidian://open?vault=o2&amp;file=Vault%20Troubleshooting.md","Vault Troubleshooting")</f>
        <v>Vault Troubleshooting</v>
      </c>
      <c r="L2432" s="20" t="s">
        <v>175</v>
      </c>
      <c r="M2432" s="4"/>
      <c r="N2432" s="2" t="s">
        <v>2606</v>
      </c>
      <c r="O2432" s="2"/>
      <c r="P2432" s="4">
        <v>1</v>
      </c>
      <c r="Q2432" s="2" t="s">
        <v>2420</v>
      </c>
      <c r="R2432" s="11">
        <f>SUBTOTAL(3,_xlfn.SINGLE(tbl_file[RowId]))</f>
        <v>1</v>
      </c>
    </row>
    <row r="2433" spans="10:18">
      <c r="J2433" s="4">
        <v>477</v>
      </c>
      <c r="K2433" s="21" t="str">
        <f>HYPERLINK("obsidian://open?vault=o2&amp;file=VBA%20Script%20to%20Load%20Folder%20images%20into%20Excel.md","VBA Script to Load Folder images into Excel")</f>
        <v>VBA Script to Load Folder images into Excel</v>
      </c>
      <c r="L2433" s="20" t="s">
        <v>175</v>
      </c>
      <c r="M2433" s="4"/>
      <c r="N2433" s="2" t="s">
        <v>2606</v>
      </c>
      <c r="O2433" s="2"/>
      <c r="P2433" s="4">
        <v>3</v>
      </c>
      <c r="Q2433" s="2" t="s">
        <v>2697</v>
      </c>
      <c r="R2433" s="11">
        <f>SUBTOTAL(3,_xlfn.SINGLE(tbl_file[RowId]))</f>
        <v>1</v>
      </c>
    </row>
    <row r="2434" spans="10:18">
      <c r="J2434" s="4">
        <v>478</v>
      </c>
      <c r="K2434" s="21" t="str">
        <f>HYPERLINK("obsidian://open?vault=o2&amp;file=VBA%20Script%20to%20Load%20Folder%20images%20into%20Excel.md","VBA Script to Load Folder images into Excel")</f>
        <v>VBA Script to Load Folder images into Excel</v>
      </c>
      <c r="L2434" s="20" t="s">
        <v>175</v>
      </c>
      <c r="M2434" s="4"/>
      <c r="N2434" s="2" t="s">
        <v>133</v>
      </c>
      <c r="O2434" s="2"/>
      <c r="P2434" s="4">
        <v>1</v>
      </c>
      <c r="Q2434" s="2" t="s">
        <v>2622</v>
      </c>
      <c r="R2434" s="11">
        <f>SUBTOTAL(3,_xlfn.SINGLE(tbl_file[RowId]))</f>
        <v>1</v>
      </c>
    </row>
    <row r="2435" spans="10:18">
      <c r="J2435" s="4">
        <v>787</v>
      </c>
      <c r="K2435" s="21" t="str">
        <f t="shared" ref="K2435:K2454" si="95">HYPERLINK("obsidian://open?vault=o2&amp;file=video.md","video")</f>
        <v>video</v>
      </c>
      <c r="L2435" s="20" t="s">
        <v>175</v>
      </c>
      <c r="M2435" s="4"/>
      <c r="N2435" s="2" t="s">
        <v>2776</v>
      </c>
      <c r="O2435" s="2"/>
      <c r="P2435" s="4">
        <v>2</v>
      </c>
      <c r="Q2435" s="2" t="s">
        <v>2777</v>
      </c>
      <c r="R2435" s="11">
        <f>SUBTOTAL(3,_xlfn.SINGLE(tbl_file[RowId]))</f>
        <v>1</v>
      </c>
    </row>
    <row r="2436" spans="10:18">
      <c r="J2436" s="4">
        <v>788</v>
      </c>
      <c r="K2436" s="21" t="str">
        <f t="shared" si="95"/>
        <v>video</v>
      </c>
      <c r="L2436" s="20" t="s">
        <v>175</v>
      </c>
      <c r="M2436" s="4"/>
      <c r="N2436" s="2" t="s">
        <v>2778</v>
      </c>
      <c r="O2436" s="2"/>
      <c r="P2436" s="4">
        <v>2</v>
      </c>
      <c r="Q2436" s="2" t="s">
        <v>2828</v>
      </c>
      <c r="R2436" s="11">
        <f>SUBTOTAL(3,_xlfn.SINGLE(tbl_file[RowId]))</f>
        <v>1</v>
      </c>
    </row>
    <row r="2437" spans="10:18">
      <c r="J2437" s="4">
        <v>789</v>
      </c>
      <c r="K2437" s="21" t="str">
        <f t="shared" si="95"/>
        <v>video</v>
      </c>
      <c r="L2437" s="20" t="s">
        <v>175</v>
      </c>
      <c r="M2437" s="4"/>
      <c r="N2437" s="2" t="s">
        <v>2780</v>
      </c>
      <c r="O2437" s="2"/>
      <c r="P2437" s="4">
        <v>2</v>
      </c>
      <c r="Q2437" s="2" t="s">
        <v>2829</v>
      </c>
      <c r="R2437" s="11">
        <f>SUBTOTAL(3,_xlfn.SINGLE(tbl_file[RowId]))</f>
        <v>1</v>
      </c>
    </row>
    <row r="2438" spans="10:18">
      <c r="J2438" s="4">
        <v>790</v>
      </c>
      <c r="K2438" s="21" t="str">
        <f t="shared" si="95"/>
        <v>video</v>
      </c>
      <c r="L2438" s="20" t="s">
        <v>175</v>
      </c>
      <c r="M2438" s="4"/>
      <c r="N2438" s="2" t="s">
        <v>2782</v>
      </c>
      <c r="O2438" s="2"/>
      <c r="P2438" s="4">
        <v>10</v>
      </c>
      <c r="Q2438" s="2" t="s">
        <v>2830</v>
      </c>
      <c r="R2438" s="11">
        <f>SUBTOTAL(3,_xlfn.SINGLE(tbl_file[RowId]))</f>
        <v>1</v>
      </c>
    </row>
    <row r="2439" spans="10:18">
      <c r="J2439" s="4">
        <v>791</v>
      </c>
      <c r="K2439" s="21" t="str">
        <f t="shared" si="95"/>
        <v>video</v>
      </c>
      <c r="L2439" s="20" t="s">
        <v>175</v>
      </c>
      <c r="M2439" s="4"/>
      <c r="N2439" s="2" t="s">
        <v>2784</v>
      </c>
      <c r="O2439" s="2"/>
      <c r="P2439" s="4">
        <v>10</v>
      </c>
      <c r="Q2439" s="2" t="s">
        <v>2831</v>
      </c>
      <c r="R2439" s="11">
        <f>SUBTOTAL(3,_xlfn.SINGLE(tbl_file[RowId]))</f>
        <v>1</v>
      </c>
    </row>
    <row r="2440" spans="10:18">
      <c r="J2440" s="4">
        <v>792</v>
      </c>
      <c r="K2440" s="21" t="str">
        <f t="shared" si="95"/>
        <v>video</v>
      </c>
      <c r="L2440" s="20" t="s">
        <v>175</v>
      </c>
      <c r="M2440" s="4"/>
      <c r="N2440" s="2" t="s">
        <v>2788</v>
      </c>
      <c r="O2440" s="2" t="s">
        <v>2789</v>
      </c>
      <c r="P2440" s="4">
        <v>2</v>
      </c>
      <c r="Q2440" s="2" t="s">
        <v>2832</v>
      </c>
      <c r="R2440" s="11">
        <f>SUBTOTAL(3,_xlfn.SINGLE(tbl_file[RowId]))</f>
        <v>1</v>
      </c>
    </row>
    <row r="2441" spans="10:18">
      <c r="J2441" s="4">
        <v>793</v>
      </c>
      <c r="K2441" s="21" t="str">
        <f t="shared" si="95"/>
        <v>video</v>
      </c>
      <c r="L2441" s="20" t="s">
        <v>175</v>
      </c>
      <c r="M2441" s="4"/>
      <c r="N2441" s="2" t="s">
        <v>2791</v>
      </c>
      <c r="O2441" s="2" t="s">
        <v>2792</v>
      </c>
      <c r="P2441" s="4">
        <v>2</v>
      </c>
      <c r="Q2441" s="2" t="s">
        <v>2833</v>
      </c>
      <c r="R2441" s="11">
        <f>SUBTOTAL(3,_xlfn.SINGLE(tbl_file[RowId]))</f>
        <v>1</v>
      </c>
    </row>
    <row r="2442" spans="10:18">
      <c r="J2442" s="4">
        <v>794</v>
      </c>
      <c r="K2442" s="21" t="str">
        <f t="shared" si="95"/>
        <v>video</v>
      </c>
      <c r="L2442" s="20" t="s">
        <v>175</v>
      </c>
      <c r="M2442" s="4"/>
      <c r="N2442" s="2" t="s">
        <v>2794</v>
      </c>
      <c r="O2442" s="2" t="s">
        <v>2795</v>
      </c>
      <c r="P2442" s="4">
        <v>4</v>
      </c>
      <c r="Q2442" s="2" t="s">
        <v>2834</v>
      </c>
      <c r="R2442" s="11">
        <f>SUBTOTAL(3,_xlfn.SINGLE(tbl_file[RowId]))</f>
        <v>1</v>
      </c>
    </row>
    <row r="2443" spans="10:18">
      <c r="J2443" s="4">
        <v>795</v>
      </c>
      <c r="K2443" s="21" t="str">
        <f t="shared" si="95"/>
        <v>video</v>
      </c>
      <c r="L2443" s="20" t="s">
        <v>175</v>
      </c>
      <c r="M2443" s="4"/>
      <c r="N2443" s="2" t="s">
        <v>2797</v>
      </c>
      <c r="O2443" s="2" t="s">
        <v>2798</v>
      </c>
      <c r="P2443" s="4">
        <v>4</v>
      </c>
      <c r="Q2443" s="2" t="s">
        <v>2835</v>
      </c>
      <c r="R2443" s="11">
        <f>SUBTOTAL(3,_xlfn.SINGLE(tbl_file[RowId]))</f>
        <v>1</v>
      </c>
    </row>
    <row r="2444" spans="10:18">
      <c r="J2444" s="4">
        <v>796</v>
      </c>
      <c r="K2444" s="21" t="str">
        <f t="shared" si="95"/>
        <v>video</v>
      </c>
      <c r="L2444" s="20" t="s">
        <v>175</v>
      </c>
      <c r="M2444" s="4"/>
      <c r="N2444" s="2" t="s">
        <v>2800</v>
      </c>
      <c r="O2444" s="2"/>
      <c r="P2444" s="4">
        <v>3</v>
      </c>
      <c r="Q2444" s="2" t="s">
        <v>2836</v>
      </c>
      <c r="R2444" s="11">
        <f>SUBTOTAL(3,_xlfn.SINGLE(tbl_file[RowId]))</f>
        <v>1</v>
      </c>
    </row>
    <row r="2445" spans="10:18">
      <c r="J2445" s="4">
        <v>797</v>
      </c>
      <c r="K2445" s="21" t="str">
        <f t="shared" si="95"/>
        <v>video</v>
      </c>
      <c r="L2445" s="20" t="s">
        <v>175</v>
      </c>
      <c r="M2445" s="4"/>
      <c r="N2445" s="2" t="s">
        <v>2802</v>
      </c>
      <c r="O2445" s="2"/>
      <c r="P2445" s="4">
        <v>3</v>
      </c>
      <c r="Q2445" s="2" t="s">
        <v>2837</v>
      </c>
      <c r="R2445" s="11">
        <f>SUBTOTAL(3,_xlfn.SINGLE(tbl_file[RowId]))</f>
        <v>1</v>
      </c>
    </row>
    <row r="2446" spans="10:18">
      <c r="J2446" s="4">
        <v>798</v>
      </c>
      <c r="K2446" s="21" t="str">
        <f t="shared" si="95"/>
        <v>video</v>
      </c>
      <c r="L2446" s="20" t="s">
        <v>175</v>
      </c>
      <c r="M2446" s="4"/>
      <c r="N2446" s="2" t="s">
        <v>2804</v>
      </c>
      <c r="O2446" s="2"/>
      <c r="P2446" s="4">
        <v>3</v>
      </c>
      <c r="Q2446" s="2" t="s">
        <v>2838</v>
      </c>
      <c r="R2446" s="11">
        <f>SUBTOTAL(3,_xlfn.SINGLE(tbl_file[RowId]))</f>
        <v>1</v>
      </c>
    </row>
    <row r="2447" spans="10:18">
      <c r="J2447" s="4">
        <v>799</v>
      </c>
      <c r="K2447" s="21" t="str">
        <f t="shared" si="95"/>
        <v>video</v>
      </c>
      <c r="L2447" s="20" t="s">
        <v>175</v>
      </c>
      <c r="M2447" s="4"/>
      <c r="N2447" s="2" t="s">
        <v>2806</v>
      </c>
      <c r="O2447" s="2"/>
      <c r="P2447" s="4">
        <v>3</v>
      </c>
      <c r="Q2447" s="2" t="s">
        <v>2839</v>
      </c>
      <c r="R2447" s="11">
        <f>SUBTOTAL(3,_xlfn.SINGLE(tbl_file[RowId]))</f>
        <v>1</v>
      </c>
    </row>
    <row r="2448" spans="10:18">
      <c r="J2448" s="4">
        <v>800</v>
      </c>
      <c r="K2448" s="21" t="str">
        <f t="shared" si="95"/>
        <v>video</v>
      </c>
      <c r="L2448" s="20" t="s">
        <v>175</v>
      </c>
      <c r="M2448" s="4"/>
      <c r="N2448" s="2" t="s">
        <v>2808</v>
      </c>
      <c r="O2448" s="2"/>
      <c r="P2448" s="4">
        <v>1</v>
      </c>
      <c r="Q2448" s="2" t="s">
        <v>2809</v>
      </c>
      <c r="R2448" s="11">
        <f>SUBTOTAL(3,_xlfn.SINGLE(tbl_file[RowId]))</f>
        <v>1</v>
      </c>
    </row>
    <row r="2449" spans="10:18">
      <c r="J2449" s="4">
        <v>801</v>
      </c>
      <c r="K2449" s="21" t="str">
        <f t="shared" si="95"/>
        <v>video</v>
      </c>
      <c r="L2449" s="20" t="s">
        <v>175</v>
      </c>
      <c r="M2449" s="4"/>
      <c r="N2449" s="2" t="s">
        <v>2810</v>
      </c>
      <c r="O2449" s="2" t="s">
        <v>2811</v>
      </c>
      <c r="P2449" s="4">
        <v>4</v>
      </c>
      <c r="Q2449" s="2" t="s">
        <v>2835</v>
      </c>
      <c r="R2449" s="11">
        <f>SUBTOTAL(3,_xlfn.SINGLE(tbl_file[RowId]))</f>
        <v>1</v>
      </c>
    </row>
    <row r="2450" spans="10:18">
      <c r="J2450" s="4">
        <v>802</v>
      </c>
      <c r="K2450" s="21" t="str">
        <f t="shared" si="95"/>
        <v>video</v>
      </c>
      <c r="L2450" s="20" t="s">
        <v>175</v>
      </c>
      <c r="M2450" s="4"/>
      <c r="N2450" s="2" t="s">
        <v>2812</v>
      </c>
      <c r="O2450" s="2"/>
      <c r="P2450" s="4">
        <v>10</v>
      </c>
      <c r="Q2450" s="2" t="s">
        <v>2840</v>
      </c>
      <c r="R2450" s="11">
        <f>SUBTOTAL(3,_xlfn.SINGLE(tbl_file[RowId]))</f>
        <v>1</v>
      </c>
    </row>
    <row r="2451" spans="10:18">
      <c r="J2451" s="4">
        <v>803</v>
      </c>
      <c r="K2451" s="21" t="str">
        <f t="shared" si="95"/>
        <v>video</v>
      </c>
      <c r="L2451" s="20" t="s">
        <v>175</v>
      </c>
      <c r="M2451" s="4"/>
      <c r="N2451" s="2" t="s">
        <v>2814</v>
      </c>
      <c r="O2451" s="2"/>
      <c r="P2451" s="4">
        <v>10</v>
      </c>
      <c r="Q2451" s="2" t="s">
        <v>2841</v>
      </c>
      <c r="R2451" s="11">
        <f>SUBTOTAL(3,_xlfn.SINGLE(tbl_file[RowId]))</f>
        <v>1</v>
      </c>
    </row>
    <row r="2452" spans="10:18">
      <c r="J2452" s="4">
        <v>804</v>
      </c>
      <c r="K2452" s="21" t="str">
        <f t="shared" si="95"/>
        <v>video</v>
      </c>
      <c r="L2452" s="20" t="s">
        <v>175</v>
      </c>
      <c r="M2452" s="4"/>
      <c r="N2452" s="2" t="s">
        <v>51</v>
      </c>
      <c r="O2452" s="2" t="s">
        <v>2821</v>
      </c>
      <c r="P2452" s="4">
        <v>1</v>
      </c>
      <c r="Q2452" s="2" t="s">
        <v>2667</v>
      </c>
      <c r="R2452" s="11">
        <f>SUBTOTAL(3,_xlfn.SINGLE(tbl_file[RowId]))</f>
        <v>1</v>
      </c>
    </row>
    <row r="2453" spans="10:18">
      <c r="J2453" s="4">
        <v>805</v>
      </c>
      <c r="K2453" s="21" t="str">
        <f t="shared" si="95"/>
        <v>video</v>
      </c>
      <c r="L2453" s="20" t="s">
        <v>175</v>
      </c>
      <c r="M2453" s="4"/>
      <c r="N2453" s="2" t="s">
        <v>2826</v>
      </c>
      <c r="O2453" s="2"/>
      <c r="P2453" s="4">
        <v>1</v>
      </c>
      <c r="Q2453" s="2" t="s">
        <v>2842</v>
      </c>
      <c r="R2453" s="11">
        <f>SUBTOTAL(3,_xlfn.SINGLE(tbl_file[RowId]))</f>
        <v>1</v>
      </c>
    </row>
    <row r="2454" spans="10:18">
      <c r="J2454" s="4">
        <v>806</v>
      </c>
      <c r="K2454" s="21" t="str">
        <f t="shared" si="95"/>
        <v>video</v>
      </c>
      <c r="L2454" s="20" t="s">
        <v>175</v>
      </c>
      <c r="M2454" s="4" t="s">
        <v>2626</v>
      </c>
      <c r="N2454" s="2" t="s">
        <v>2606</v>
      </c>
      <c r="O2454" s="2"/>
      <c r="P2454" s="4">
        <v>1</v>
      </c>
      <c r="Q2454" s="2" t="s">
        <v>2371</v>
      </c>
      <c r="R2454" s="11">
        <f>SUBTOTAL(3,_xlfn.SINGLE(tbl_file[RowId]))</f>
        <v>1</v>
      </c>
    </row>
    <row r="2455" spans="10:18">
      <c r="J2455" s="4">
        <v>2381</v>
      </c>
      <c r="K2455" s="21" t="str">
        <f t="shared" ref="K2455:K2461" si="96">HYPERLINK("obsidian://open?vault=o2&amp;file=Vim%20Cheatsheet.md","Vim Cheatsheet")</f>
        <v>Vim Cheatsheet</v>
      </c>
      <c r="L2455" s="20" t="s">
        <v>175</v>
      </c>
      <c r="M2455" s="4"/>
      <c r="N2455" s="2" t="s">
        <v>19</v>
      </c>
      <c r="O2455" s="2"/>
      <c r="P2455" s="4">
        <v>1</v>
      </c>
      <c r="Q2455" s="2" t="s">
        <v>387</v>
      </c>
      <c r="R2455" s="11">
        <f>SUBTOTAL(3,_xlfn.SINGLE(tbl_file[RowId]))</f>
        <v>1</v>
      </c>
    </row>
    <row r="2456" spans="10:18">
      <c r="J2456" s="4">
        <v>2382</v>
      </c>
      <c r="K2456" s="21" t="str">
        <f t="shared" si="96"/>
        <v>Vim Cheatsheet</v>
      </c>
      <c r="L2456" s="20" t="s">
        <v>175</v>
      </c>
      <c r="M2456" s="4"/>
      <c r="N2456" s="2" t="s">
        <v>50</v>
      </c>
      <c r="O2456" s="2"/>
      <c r="P2456" s="4">
        <v>4</v>
      </c>
      <c r="Q2456" s="2" t="s">
        <v>3170</v>
      </c>
      <c r="R2456" s="11">
        <f>SUBTOTAL(3,_xlfn.SINGLE(tbl_file[RowId]))</f>
        <v>1</v>
      </c>
    </row>
    <row r="2457" spans="10:18">
      <c r="J2457" s="4">
        <v>2383</v>
      </c>
      <c r="K2457" s="21" t="str">
        <f t="shared" si="96"/>
        <v>Vim Cheatsheet</v>
      </c>
      <c r="L2457" s="20" t="s">
        <v>175</v>
      </c>
      <c r="M2457" s="4"/>
      <c r="N2457" s="2" t="s">
        <v>125</v>
      </c>
      <c r="O2457" s="2"/>
      <c r="P2457" s="4">
        <v>1</v>
      </c>
      <c r="Q2457" s="2" t="s">
        <v>1887</v>
      </c>
      <c r="R2457" s="11">
        <f>SUBTOTAL(3,_xlfn.SINGLE(tbl_file[RowId]))</f>
        <v>1</v>
      </c>
    </row>
    <row r="2458" spans="10:18">
      <c r="J2458" s="4">
        <v>2384</v>
      </c>
      <c r="K2458" s="21" t="str">
        <f t="shared" si="96"/>
        <v>Vim Cheatsheet</v>
      </c>
      <c r="L2458" s="20" t="s">
        <v>175</v>
      </c>
      <c r="M2458" s="4"/>
      <c r="N2458" s="2" t="s">
        <v>127</v>
      </c>
      <c r="O2458" s="2"/>
      <c r="P2458" s="4">
        <v>1</v>
      </c>
      <c r="Q2458" s="2" t="s">
        <v>1952</v>
      </c>
      <c r="R2458" s="11">
        <f>SUBTOTAL(3,_xlfn.SINGLE(tbl_file[RowId]))</f>
        <v>1</v>
      </c>
    </row>
    <row r="2459" spans="10:18">
      <c r="J2459" s="4">
        <v>2385</v>
      </c>
      <c r="K2459" s="21" t="str">
        <f t="shared" si="96"/>
        <v>Vim Cheatsheet</v>
      </c>
      <c r="L2459" s="20" t="s">
        <v>175</v>
      </c>
      <c r="M2459" s="4"/>
      <c r="N2459" s="2" t="s">
        <v>2606</v>
      </c>
      <c r="O2459" s="2"/>
      <c r="P2459" s="4">
        <v>6</v>
      </c>
      <c r="Q2459" s="2" t="s">
        <v>3171</v>
      </c>
      <c r="R2459" s="11">
        <f>SUBTOTAL(3,_xlfn.SINGLE(tbl_file[RowId]))</f>
        <v>1</v>
      </c>
    </row>
    <row r="2460" spans="10:18">
      <c r="J2460" s="4">
        <v>2386</v>
      </c>
      <c r="K2460" s="21" t="str">
        <f t="shared" si="96"/>
        <v>Vim Cheatsheet</v>
      </c>
      <c r="L2460" s="20" t="s">
        <v>175</v>
      </c>
      <c r="M2460" s="4"/>
      <c r="N2460" s="2" t="s">
        <v>133</v>
      </c>
      <c r="O2460" s="2"/>
      <c r="P2460" s="4">
        <v>1</v>
      </c>
      <c r="Q2460" s="2" t="s">
        <v>2107</v>
      </c>
      <c r="R2460" s="11">
        <f>SUBTOTAL(3,_xlfn.SINGLE(tbl_file[RowId]))</f>
        <v>1</v>
      </c>
    </row>
    <row r="2461" spans="10:18">
      <c r="J2461" s="4">
        <v>2387</v>
      </c>
      <c r="K2461" s="21" t="str">
        <f t="shared" si="96"/>
        <v>Vim Cheatsheet</v>
      </c>
      <c r="L2461" s="20" t="s">
        <v>175</v>
      </c>
      <c r="M2461" s="4" t="s">
        <v>2626</v>
      </c>
      <c r="N2461" s="2" t="s">
        <v>2606</v>
      </c>
      <c r="O2461" s="2"/>
      <c r="P2461" s="4">
        <v>4</v>
      </c>
      <c r="Q2461" s="2" t="s">
        <v>3172</v>
      </c>
      <c r="R2461" s="11">
        <f>SUBTOTAL(3,_xlfn.SINGLE(tbl_file[RowId]))</f>
        <v>1</v>
      </c>
    </row>
    <row r="2462" spans="10:18">
      <c r="J2462" s="4">
        <v>2388</v>
      </c>
      <c r="K2462" s="21" t="str">
        <f>HYPERLINK("obsidian://open?vault=o2&amp;file=Vim%20Plugin%20Details.md","Vim Plugin Details")</f>
        <v>Vim Plugin Details</v>
      </c>
      <c r="L2462" s="20" t="s">
        <v>175</v>
      </c>
      <c r="M2462" s="4"/>
      <c r="N2462" s="2" t="s">
        <v>50</v>
      </c>
      <c r="O2462" s="2"/>
      <c r="P2462" s="4">
        <v>1</v>
      </c>
      <c r="Q2462" s="2" t="s">
        <v>1474</v>
      </c>
      <c r="R2462" s="11">
        <f>SUBTOTAL(3,_xlfn.SINGLE(tbl_file[RowId]))</f>
        <v>1</v>
      </c>
    </row>
    <row r="2463" spans="10:18">
      <c r="J2463" s="4">
        <v>2389</v>
      </c>
      <c r="K2463" s="21" t="str">
        <f>HYPERLINK("obsidian://open?vault=o2&amp;file=Vim%20Plugin%20Details.md","Vim Plugin Details")</f>
        <v>Vim Plugin Details</v>
      </c>
      <c r="L2463" s="20" t="s">
        <v>175</v>
      </c>
      <c r="M2463" s="4"/>
      <c r="N2463" s="2" t="s">
        <v>127</v>
      </c>
      <c r="O2463" s="2"/>
      <c r="P2463" s="4">
        <v>1</v>
      </c>
      <c r="Q2463" s="2" t="s">
        <v>1968</v>
      </c>
      <c r="R2463" s="11">
        <f>SUBTOTAL(3,_xlfn.SINGLE(tbl_file[RowId]))</f>
        <v>1</v>
      </c>
    </row>
    <row r="2464" spans="10:18">
      <c r="J2464" s="4">
        <v>2390</v>
      </c>
      <c r="K2464" s="21" t="str">
        <f>HYPERLINK("obsidian://open?vault=o2&amp;file=Vim%20Plugin%20Details.md","Vim Plugin Details")</f>
        <v>Vim Plugin Details</v>
      </c>
      <c r="L2464" s="20" t="s">
        <v>175</v>
      </c>
      <c r="M2464" s="4"/>
      <c r="N2464" s="2" t="s">
        <v>2606</v>
      </c>
      <c r="O2464" s="2"/>
      <c r="P2464" s="4">
        <v>1</v>
      </c>
      <c r="Q2464" s="2" t="s">
        <v>2293</v>
      </c>
      <c r="R2464" s="11">
        <f>SUBTOTAL(3,_xlfn.SINGLE(tbl_file[RowId]))</f>
        <v>1</v>
      </c>
    </row>
    <row r="2465" spans="10:18">
      <c r="J2465" s="4">
        <v>2391</v>
      </c>
      <c r="K2465" s="21" t="str">
        <f>HYPERLINK("obsidian://open?vault=o2&amp;file=Vim%20Plugin%20Details.md","Vim Plugin Details")</f>
        <v>Vim Plugin Details</v>
      </c>
      <c r="L2465" s="20" t="s">
        <v>175</v>
      </c>
      <c r="M2465" s="4"/>
      <c r="N2465" s="2" t="s">
        <v>133</v>
      </c>
      <c r="O2465" s="2"/>
      <c r="P2465" s="4">
        <v>1</v>
      </c>
      <c r="Q2465" s="2" t="s">
        <v>2107</v>
      </c>
      <c r="R2465" s="11">
        <f>SUBTOTAL(3,_xlfn.SINGLE(tbl_file[RowId]))</f>
        <v>1</v>
      </c>
    </row>
    <row r="2466" spans="10:18">
      <c r="J2466" s="4">
        <v>2392</v>
      </c>
      <c r="K2466" s="21" t="str">
        <f>HYPERLINK("obsidian://open?vault=o2&amp;file=Watercolor%20Artist.md","Watercolor Artist")</f>
        <v>Watercolor Artist</v>
      </c>
      <c r="L2466" s="20" t="s">
        <v>175</v>
      </c>
      <c r="M2466" s="4"/>
      <c r="N2466" s="2" t="s">
        <v>46</v>
      </c>
      <c r="O2466" s="2"/>
      <c r="P2466" s="4">
        <v>1</v>
      </c>
      <c r="Q2466" s="2" t="s">
        <v>637</v>
      </c>
      <c r="R2466" s="11">
        <f>SUBTOTAL(3,_xlfn.SINGLE(tbl_file[RowId]))</f>
        <v>1</v>
      </c>
    </row>
    <row r="2467" spans="10:18">
      <c r="J2467" s="4">
        <v>2393</v>
      </c>
      <c r="K2467" s="21" t="str">
        <f>HYPERLINK("obsidian://open?vault=o2&amp;file=Watercolor%20Artist.md","Watercolor Artist")</f>
        <v>Watercolor Artist</v>
      </c>
      <c r="L2467" s="20" t="s">
        <v>175</v>
      </c>
      <c r="M2467" s="4"/>
      <c r="N2467" s="2" t="s">
        <v>128</v>
      </c>
      <c r="O2467" s="2"/>
      <c r="P2467" s="4">
        <v>1</v>
      </c>
      <c r="Q2467" s="2" t="s">
        <v>1972</v>
      </c>
      <c r="R2467" s="11">
        <f>SUBTOTAL(3,_xlfn.SINGLE(tbl_file[RowId]))</f>
        <v>1</v>
      </c>
    </row>
    <row r="2468" spans="10:18">
      <c r="J2468" s="4">
        <v>2394</v>
      </c>
      <c r="K2468" s="21" t="str">
        <f>HYPERLINK("obsidian://open?vault=o2&amp;file=Watercolor%20Artist.md","Watercolor Artist")</f>
        <v>Watercolor Artist</v>
      </c>
      <c r="L2468" s="20" t="s">
        <v>175</v>
      </c>
      <c r="M2468" s="4"/>
      <c r="N2468" s="2" t="s">
        <v>2606</v>
      </c>
      <c r="O2468" s="2"/>
      <c r="P2468" s="4">
        <v>3</v>
      </c>
      <c r="Q2468" s="2" t="s">
        <v>3173</v>
      </c>
      <c r="R2468" s="11">
        <f>SUBTOTAL(3,_xlfn.SINGLE(tbl_file[RowId]))</f>
        <v>1</v>
      </c>
    </row>
    <row r="2469" spans="10:18">
      <c r="J2469" s="4">
        <v>2395</v>
      </c>
      <c r="K2469" s="21" t="str">
        <f>HYPERLINK("obsidian://open?vault=o2&amp;file=Watercolor%20Artist.md","Watercolor Artist")</f>
        <v>Watercolor Artist</v>
      </c>
      <c r="L2469" s="20" t="s">
        <v>175</v>
      </c>
      <c r="M2469" s="4"/>
      <c r="N2469" s="2" t="s">
        <v>132</v>
      </c>
      <c r="O2469" s="2"/>
      <c r="P2469" s="4">
        <v>1</v>
      </c>
      <c r="Q2469" s="2" t="s">
        <v>2092</v>
      </c>
      <c r="R2469" s="11">
        <f>SUBTOTAL(3,_xlfn.SINGLE(tbl_file[RowId]))</f>
        <v>1</v>
      </c>
    </row>
    <row r="2470" spans="10:18">
      <c r="J2470" s="4">
        <v>2396</v>
      </c>
      <c r="K2470" s="21" t="str">
        <f>HYPERLINK("obsidian://open?vault=o2&amp;file=Watercolor%20Artist.md","Watercolor Artist")</f>
        <v>Watercolor Artist</v>
      </c>
      <c r="L2470" s="20" t="s">
        <v>175</v>
      </c>
      <c r="M2470" s="4"/>
      <c r="N2470" s="2" t="s">
        <v>137</v>
      </c>
      <c r="O2470" s="2"/>
      <c r="P2470" s="4">
        <v>1</v>
      </c>
      <c r="Q2470" s="2" t="s">
        <v>2189</v>
      </c>
      <c r="R2470" s="11">
        <f>SUBTOTAL(3,_xlfn.SINGLE(tbl_file[RowId]))</f>
        <v>1</v>
      </c>
    </row>
    <row r="2471" spans="10:18">
      <c r="J2471" s="4">
        <v>2397</v>
      </c>
      <c r="K2471" s="21" t="str">
        <f>HYPERLINK("obsidian://open?vault=o2&amp;file=What%20I%20did%20to%20fix%20the%20BSOD%20on%20Boot.md","What I did to fix the BSOD on Boot")</f>
        <v>What I did to fix the BSOD on Boot</v>
      </c>
      <c r="L2471" s="20" t="s">
        <v>175</v>
      </c>
      <c r="M2471" s="4"/>
      <c r="N2471" s="2" t="s">
        <v>50</v>
      </c>
      <c r="O2471" s="2"/>
      <c r="P2471" s="4">
        <v>1</v>
      </c>
      <c r="Q2471" s="2" t="s">
        <v>1576</v>
      </c>
      <c r="R2471" s="11">
        <f>SUBTOTAL(3,_xlfn.SINGLE(tbl_file[RowId]))</f>
        <v>1</v>
      </c>
    </row>
    <row r="2472" spans="10:18">
      <c r="J2472" s="4">
        <v>2398</v>
      </c>
      <c r="K2472" s="21" t="str">
        <f>HYPERLINK("obsidian://open?vault=o2&amp;file=What%20I%20did%20to%20fix%20the%20BSOD%20on%20Boot.md","What I did to fix the BSOD on Boot")</f>
        <v>What I did to fix the BSOD on Boot</v>
      </c>
      <c r="L2472" s="20" t="s">
        <v>175</v>
      </c>
      <c r="M2472" s="4"/>
      <c r="N2472" s="2" t="s">
        <v>127</v>
      </c>
      <c r="O2472" s="2"/>
      <c r="P2472" s="4">
        <v>1</v>
      </c>
      <c r="Q2472" s="2" t="s">
        <v>1958</v>
      </c>
      <c r="R2472" s="11">
        <f>SUBTOTAL(3,_xlfn.SINGLE(tbl_file[RowId]))</f>
        <v>1</v>
      </c>
    </row>
    <row r="2473" spans="10:18">
      <c r="J2473" s="4">
        <v>2399</v>
      </c>
      <c r="K2473" s="21" t="str">
        <f>HYPERLINK("obsidian://open?vault=o2&amp;file=What%20I%20did%20to%20fix%20the%20BSOD%20on%20Boot.md","What I did to fix the BSOD on Boot")</f>
        <v>What I did to fix the BSOD on Boot</v>
      </c>
      <c r="L2473" s="20" t="s">
        <v>175</v>
      </c>
      <c r="M2473" s="4"/>
      <c r="N2473" s="2" t="s">
        <v>2606</v>
      </c>
      <c r="O2473" s="2"/>
      <c r="P2473" s="4">
        <v>4</v>
      </c>
      <c r="Q2473" s="2" t="s">
        <v>2642</v>
      </c>
      <c r="R2473" s="11">
        <f>SUBTOTAL(3,_xlfn.SINGLE(tbl_file[RowId]))</f>
        <v>1</v>
      </c>
    </row>
    <row r="2474" spans="10:18">
      <c r="J2474" s="4">
        <v>2400</v>
      </c>
      <c r="K2474" s="21" t="str">
        <f>HYPERLINK("obsidian://open?vault=o2&amp;file=What%20I%20did%20to%20fix%20the%20BSOD%20on%20Boot.md","What I did to fix the BSOD on Boot")</f>
        <v>What I did to fix the BSOD on Boot</v>
      </c>
      <c r="L2474" s="20" t="s">
        <v>175</v>
      </c>
      <c r="M2474" s="4"/>
      <c r="N2474" s="2" t="s">
        <v>133</v>
      </c>
      <c r="O2474" s="2"/>
      <c r="P2474" s="4">
        <v>1</v>
      </c>
      <c r="Q2474" s="2" t="s">
        <v>2614</v>
      </c>
      <c r="R2474" s="11">
        <f>SUBTOTAL(3,_xlfn.SINGLE(tbl_file[RowId]))</f>
        <v>1</v>
      </c>
    </row>
    <row r="2475" spans="10:18">
      <c r="J2475" s="4">
        <v>1057</v>
      </c>
      <c r="K2475" s="21" t="str">
        <f t="shared" ref="K2475:K2481" si="97">HYPERLINK("obsidian://open?vault=o2&amp;file=What%20is%20Thread%20and%20how%20will%20it%20help%20your%20smart%20home.md","What is Thread and how will it help your smart home")</f>
        <v>What is Thread and how will it help your smart home</v>
      </c>
      <c r="L2475" s="20" t="s">
        <v>175</v>
      </c>
      <c r="M2475" s="4"/>
      <c r="N2475" s="2" t="s">
        <v>33</v>
      </c>
      <c r="O2475" s="2"/>
      <c r="P2475" s="4">
        <v>1</v>
      </c>
      <c r="Q2475" s="2" t="s">
        <v>497</v>
      </c>
      <c r="R2475" s="11">
        <f>SUBTOTAL(3,_xlfn.SINGLE(tbl_file[RowId]))</f>
        <v>1</v>
      </c>
    </row>
    <row r="2476" spans="10:18">
      <c r="J2476" s="4">
        <v>1058</v>
      </c>
      <c r="K2476" s="21" t="str">
        <f t="shared" si="97"/>
        <v>What is Thread and how will it help your smart home</v>
      </c>
      <c r="L2476" s="20" t="s">
        <v>175</v>
      </c>
      <c r="M2476" s="4"/>
      <c r="N2476" s="2" t="s">
        <v>46</v>
      </c>
      <c r="O2476" s="2"/>
      <c r="P2476" s="4">
        <v>1</v>
      </c>
      <c r="Q2476" s="2" t="s">
        <v>665</v>
      </c>
      <c r="R2476" s="11">
        <f>SUBTOTAL(3,_xlfn.SINGLE(tbl_file[RowId]))</f>
        <v>1</v>
      </c>
    </row>
    <row r="2477" spans="10:18">
      <c r="J2477" s="4">
        <v>1059</v>
      </c>
      <c r="K2477" s="21" t="str">
        <f t="shared" si="97"/>
        <v>What is Thread and how will it help your smart home</v>
      </c>
      <c r="L2477" s="20" t="s">
        <v>175</v>
      </c>
      <c r="M2477" s="4"/>
      <c r="N2477" s="2" t="s">
        <v>50</v>
      </c>
      <c r="O2477" s="2"/>
      <c r="P2477" s="4">
        <v>1</v>
      </c>
      <c r="Q2477" s="2" t="s">
        <v>1692</v>
      </c>
      <c r="R2477" s="11">
        <f>SUBTOTAL(3,_xlfn.SINGLE(tbl_file[RowId]))</f>
        <v>1</v>
      </c>
    </row>
    <row r="2478" spans="10:18">
      <c r="J2478" s="4">
        <v>1060</v>
      </c>
      <c r="K2478" s="21" t="str">
        <f t="shared" si="97"/>
        <v>What is Thread and how will it help your smart home</v>
      </c>
      <c r="L2478" s="20" t="s">
        <v>175</v>
      </c>
      <c r="M2478" s="4"/>
      <c r="N2478" s="14" t="s">
        <v>122</v>
      </c>
      <c r="O2478" s="2"/>
      <c r="P2478" s="4">
        <v>1</v>
      </c>
      <c r="Q2478" s="2" t="s">
        <v>1840</v>
      </c>
      <c r="R2478" s="11">
        <f>SUBTOTAL(3,_xlfn.SINGLE(tbl_file[RowId]))</f>
        <v>1</v>
      </c>
    </row>
    <row r="2479" spans="10:18">
      <c r="J2479" s="4">
        <v>1061</v>
      </c>
      <c r="K2479" s="21" t="str">
        <f t="shared" si="97"/>
        <v>What is Thread and how will it help your smart home</v>
      </c>
      <c r="L2479" s="20" t="s">
        <v>175</v>
      </c>
      <c r="M2479" s="4"/>
      <c r="N2479" s="2" t="s">
        <v>2606</v>
      </c>
      <c r="O2479" s="2"/>
      <c r="P2479" s="4">
        <v>6</v>
      </c>
      <c r="Q2479" s="2" t="s">
        <v>2978</v>
      </c>
      <c r="R2479" s="11">
        <f>SUBTOTAL(3,_xlfn.SINGLE(tbl_file[RowId]))</f>
        <v>1</v>
      </c>
    </row>
    <row r="2480" spans="10:18">
      <c r="J2480" s="4">
        <v>1062</v>
      </c>
      <c r="K2480" s="21" t="str">
        <f t="shared" si="97"/>
        <v>What is Thread and how will it help your smart home</v>
      </c>
      <c r="L2480" s="20" t="s">
        <v>175</v>
      </c>
      <c r="M2480" s="4"/>
      <c r="N2480" s="2" t="s">
        <v>132</v>
      </c>
      <c r="O2480" s="2"/>
      <c r="P2480" s="4">
        <v>1</v>
      </c>
      <c r="Q2480" s="2" t="s">
        <v>2094</v>
      </c>
      <c r="R2480" s="11">
        <f>SUBTOTAL(3,_xlfn.SINGLE(tbl_file[RowId]))</f>
        <v>1</v>
      </c>
    </row>
    <row r="2481" spans="10:18">
      <c r="J2481" s="4">
        <v>1063</v>
      </c>
      <c r="K2481" s="21" t="str">
        <f t="shared" si="97"/>
        <v>What is Thread and how will it help your smart home</v>
      </c>
      <c r="L2481" s="20" t="s">
        <v>175</v>
      </c>
      <c r="M2481" s="4"/>
      <c r="N2481" s="2" t="s">
        <v>137</v>
      </c>
      <c r="O2481" s="2"/>
      <c r="P2481" s="4">
        <v>1</v>
      </c>
      <c r="Q2481" s="2" t="s">
        <v>2213</v>
      </c>
      <c r="R2481" s="11">
        <f>SUBTOTAL(3,_xlfn.SINGLE(tbl_file[RowId]))</f>
        <v>1</v>
      </c>
    </row>
    <row r="2482" spans="10:18">
      <c r="J2482" s="4">
        <v>2401</v>
      </c>
      <c r="K2482" s="21" t="str">
        <f>HYPERLINK("obsidian://open?vault=o2&amp;file=Wikipedia%20Portal%20Literature.md","Wikipedia Portal Literature")</f>
        <v>Wikipedia Portal Literature</v>
      </c>
      <c r="L2482" s="20" t="s">
        <v>175</v>
      </c>
      <c r="M2482" s="4"/>
      <c r="N2482" s="2" t="s">
        <v>50</v>
      </c>
      <c r="O2482" s="2"/>
      <c r="P2482" s="4">
        <v>2</v>
      </c>
      <c r="Q2482" s="2" t="s">
        <v>3174</v>
      </c>
      <c r="R2482" s="11">
        <f>SUBTOTAL(3,_xlfn.SINGLE(tbl_file[RowId]))</f>
        <v>1</v>
      </c>
    </row>
    <row r="2483" spans="10:18">
      <c r="J2483" s="4">
        <v>2402</v>
      </c>
      <c r="K2483" s="21" t="str">
        <f>HYPERLINK("obsidian://open?vault=o2&amp;file=Wikipedia%20Portal%20Literature.md","Wikipedia Portal Literature")</f>
        <v>Wikipedia Portal Literature</v>
      </c>
      <c r="L2483" s="20" t="s">
        <v>175</v>
      </c>
      <c r="M2483" s="4"/>
      <c r="N2483" s="2" t="s">
        <v>121</v>
      </c>
      <c r="O2483" s="2"/>
      <c r="P2483" s="4">
        <v>1</v>
      </c>
      <c r="Q2483" s="2" t="s">
        <v>1838</v>
      </c>
      <c r="R2483" s="11">
        <f>SUBTOTAL(3,_xlfn.SINGLE(tbl_file[RowId]))</f>
        <v>1</v>
      </c>
    </row>
    <row r="2484" spans="10:18">
      <c r="J2484" s="4">
        <v>2403</v>
      </c>
      <c r="K2484" s="21" t="str">
        <f>HYPERLINK("obsidian://open?vault=o2&amp;file=Wikipedia%20Portal%20Literature.md","Wikipedia Portal Literature")</f>
        <v>Wikipedia Portal Literature</v>
      </c>
      <c r="L2484" s="20" t="s">
        <v>175</v>
      </c>
      <c r="M2484" s="4"/>
      <c r="N2484" s="2" t="s">
        <v>123</v>
      </c>
      <c r="O2484" s="2"/>
      <c r="P2484" s="4">
        <v>1</v>
      </c>
      <c r="Q2484" s="2" t="s">
        <v>1578</v>
      </c>
      <c r="R2484" s="11">
        <f>SUBTOTAL(3,_xlfn.SINGLE(tbl_file[RowId]))</f>
        <v>1</v>
      </c>
    </row>
    <row r="2485" spans="10:18">
      <c r="J2485" s="4">
        <v>2404</v>
      </c>
      <c r="K2485" s="21" t="str">
        <f>HYPERLINK("obsidian://open?vault=o2&amp;file=Wikipedia%20Portal%20Literature.md","Wikipedia Portal Literature")</f>
        <v>Wikipedia Portal Literature</v>
      </c>
      <c r="L2485" s="20" t="s">
        <v>175</v>
      </c>
      <c r="M2485" s="4"/>
      <c r="N2485" s="2" t="s">
        <v>127</v>
      </c>
      <c r="O2485" s="2"/>
      <c r="P2485" s="4">
        <v>1</v>
      </c>
      <c r="Q2485" s="2" t="s">
        <v>1958</v>
      </c>
      <c r="R2485" s="11">
        <f>SUBTOTAL(3,_xlfn.SINGLE(tbl_file[RowId]))</f>
        <v>1</v>
      </c>
    </row>
    <row r="2486" spans="10:18">
      <c r="J2486" s="4">
        <v>2405</v>
      </c>
      <c r="K2486" s="21" t="str">
        <f>HYPERLINK("obsidian://open?vault=o2&amp;file=Wikipedia%20Portal%20Literature.md","Wikipedia Portal Literature")</f>
        <v>Wikipedia Portal Literature</v>
      </c>
      <c r="L2486" s="20" t="s">
        <v>175</v>
      </c>
      <c r="M2486" s="4"/>
      <c r="N2486" s="2" t="s">
        <v>2606</v>
      </c>
      <c r="O2486" s="2"/>
      <c r="P2486" s="4">
        <v>5</v>
      </c>
      <c r="Q2486" s="2" t="s">
        <v>3175</v>
      </c>
      <c r="R2486" s="11">
        <f>SUBTOTAL(3,_xlfn.SINGLE(tbl_file[RowId]))</f>
        <v>1</v>
      </c>
    </row>
    <row r="2487" spans="10:18">
      <c r="J2487" s="4">
        <v>340</v>
      </c>
      <c r="K2487" s="21" t="str">
        <f>HYPERLINK("obsidian://open?vault=o2&amp;file=Win11%20Jump%20List%20Tweak.md","Win11 Jump List Tweak")</f>
        <v>Win11 Jump List Tweak</v>
      </c>
      <c r="L2487" s="20" t="s">
        <v>175</v>
      </c>
      <c r="M2487" s="4"/>
      <c r="N2487" s="2" t="s">
        <v>50</v>
      </c>
      <c r="O2487" s="2"/>
      <c r="P2487" s="4">
        <v>1</v>
      </c>
      <c r="Q2487" s="2" t="s">
        <v>1655</v>
      </c>
      <c r="R2487" s="11">
        <f>SUBTOTAL(3,_xlfn.SINGLE(tbl_file[RowId]))</f>
        <v>1</v>
      </c>
    </row>
    <row r="2488" spans="10:18">
      <c r="J2488" s="4">
        <v>341</v>
      </c>
      <c r="K2488" s="21" t="str">
        <f>HYPERLINK("obsidian://open?vault=o2&amp;file=Win11%20Jump%20List%20Tweak.md","Win11 Jump List Tweak")</f>
        <v>Win11 Jump List Tweak</v>
      </c>
      <c r="L2488" s="20" t="s">
        <v>175</v>
      </c>
      <c r="M2488" s="4"/>
      <c r="N2488" s="2" t="s">
        <v>127</v>
      </c>
      <c r="O2488" s="2"/>
      <c r="P2488" s="4">
        <v>1</v>
      </c>
      <c r="Q2488" s="2" t="s">
        <v>1958</v>
      </c>
      <c r="R2488" s="11">
        <f>SUBTOTAL(3,_xlfn.SINGLE(tbl_file[RowId]))</f>
        <v>1</v>
      </c>
    </row>
    <row r="2489" spans="10:18">
      <c r="J2489" s="4">
        <v>342</v>
      </c>
      <c r="K2489" s="21" t="str">
        <f>HYPERLINK("obsidian://open?vault=o2&amp;file=Win11%20Jump%20List%20Tweak.md","Win11 Jump List Tweak")</f>
        <v>Win11 Jump List Tweak</v>
      </c>
      <c r="L2489" s="20" t="s">
        <v>175</v>
      </c>
      <c r="M2489" s="4"/>
      <c r="N2489" s="2" t="s">
        <v>2606</v>
      </c>
      <c r="O2489" s="2"/>
      <c r="P2489" s="4">
        <v>4</v>
      </c>
      <c r="Q2489" s="2" t="s">
        <v>2642</v>
      </c>
      <c r="R2489" s="11">
        <f>SUBTOTAL(3,_xlfn.SINGLE(tbl_file[RowId]))</f>
        <v>1</v>
      </c>
    </row>
    <row r="2490" spans="10:18">
      <c r="J2490" s="4">
        <v>343</v>
      </c>
      <c r="K2490" s="21" t="str">
        <f>HYPERLINK("obsidian://open?vault=o2&amp;file=Win11%20Jump%20List%20Tweak.md","Win11 Jump List Tweak")</f>
        <v>Win11 Jump List Tweak</v>
      </c>
      <c r="L2490" s="20" t="s">
        <v>175</v>
      </c>
      <c r="M2490" s="4"/>
      <c r="N2490" s="2" t="s">
        <v>133</v>
      </c>
      <c r="O2490" s="2"/>
      <c r="P2490" s="4">
        <v>1</v>
      </c>
      <c r="Q2490" s="2" t="s">
        <v>2614</v>
      </c>
      <c r="R2490" s="11">
        <f>SUBTOTAL(3,_xlfn.SINGLE(tbl_file[RowId]))</f>
        <v>1</v>
      </c>
    </row>
    <row r="2491" spans="10:18">
      <c r="J2491" s="4">
        <v>744</v>
      </c>
      <c r="K2491" s="21" t="str">
        <f t="shared" ref="K2491:K2502" si="98">HYPERLINK("obsidian://open?vault=o2&amp;file=Windows%2010%20and%2011%20Wont%20Boot%2C%20How%20To%20Fix%20UEFI%20Partition.md","Windows 10 and 11 Wont Boot, How To Fix UEFI Partition")</f>
        <v>Windows 10 and 11 Wont Boot, How To Fix UEFI Partition</v>
      </c>
      <c r="L2491" s="20" t="s">
        <v>175</v>
      </c>
      <c r="M2491" s="4"/>
      <c r="N2491" s="2" t="s">
        <v>11</v>
      </c>
      <c r="O2491" s="2"/>
      <c r="P2491" s="4">
        <v>2</v>
      </c>
      <c r="Q2491" s="2" t="s">
        <v>2764</v>
      </c>
      <c r="R2491" s="11">
        <f>SUBTOTAL(3,_xlfn.SINGLE(tbl_file[RowId]))</f>
        <v>1</v>
      </c>
    </row>
    <row r="2492" spans="10:18">
      <c r="J2492" s="4">
        <v>745</v>
      </c>
      <c r="K2492" s="21" t="str">
        <f t="shared" si="98"/>
        <v>Windows 10 and 11 Wont Boot, How To Fix UEFI Partition</v>
      </c>
      <c r="L2492" s="20" t="s">
        <v>175</v>
      </c>
      <c r="M2492" s="4"/>
      <c r="N2492" s="2" t="s">
        <v>13</v>
      </c>
      <c r="O2492" s="2"/>
      <c r="P2492" s="4">
        <v>1</v>
      </c>
      <c r="Q2492" s="2" t="s">
        <v>290</v>
      </c>
      <c r="R2492" s="11">
        <f>SUBTOTAL(3,_xlfn.SINGLE(tbl_file[RowId]))</f>
        <v>1</v>
      </c>
    </row>
    <row r="2493" spans="10:18">
      <c r="J2493" s="4">
        <v>746</v>
      </c>
      <c r="K2493" s="21" t="str">
        <f t="shared" si="98"/>
        <v>Windows 10 and 11 Wont Boot, How To Fix UEFI Partition</v>
      </c>
      <c r="L2493" s="20" t="s">
        <v>175</v>
      </c>
      <c r="M2493" s="4"/>
      <c r="N2493" s="2" t="s">
        <v>16</v>
      </c>
      <c r="O2493" s="2"/>
      <c r="P2493" s="4">
        <v>1</v>
      </c>
      <c r="Q2493" s="2" t="s">
        <v>290</v>
      </c>
      <c r="R2493" s="11">
        <f>SUBTOTAL(3,_xlfn.SINGLE(tbl_file[RowId]))</f>
        <v>1</v>
      </c>
    </row>
    <row r="2494" spans="10:18">
      <c r="J2494" s="4">
        <v>747</v>
      </c>
      <c r="K2494" s="21" t="str">
        <f t="shared" si="98"/>
        <v>Windows 10 and 11 Wont Boot, How To Fix UEFI Partition</v>
      </c>
      <c r="L2494" s="20" t="s">
        <v>175</v>
      </c>
      <c r="M2494" s="4"/>
      <c r="N2494" s="2" t="s">
        <v>37</v>
      </c>
      <c r="O2494" s="2"/>
      <c r="P2494" s="4">
        <v>1</v>
      </c>
      <c r="Q2494" s="2" t="s">
        <v>573</v>
      </c>
      <c r="R2494" s="11">
        <f>SUBTOTAL(3,_xlfn.SINGLE(tbl_file[RowId]))</f>
        <v>1</v>
      </c>
    </row>
    <row r="2495" spans="10:18">
      <c r="J2495" s="4">
        <v>748</v>
      </c>
      <c r="K2495" s="21" t="str">
        <f t="shared" si="98"/>
        <v>Windows 10 and 11 Wont Boot, How To Fix UEFI Partition</v>
      </c>
      <c r="L2495" s="20" t="s">
        <v>175</v>
      </c>
      <c r="M2495" s="4"/>
      <c r="N2495" s="2" t="s">
        <v>43</v>
      </c>
      <c r="O2495" s="2"/>
      <c r="P2495" s="4">
        <v>1</v>
      </c>
      <c r="Q2495" s="2" t="s">
        <v>2765</v>
      </c>
      <c r="R2495" s="11">
        <f>SUBTOTAL(3,_xlfn.SINGLE(tbl_file[RowId]))</f>
        <v>1</v>
      </c>
    </row>
    <row r="2496" spans="10:18">
      <c r="J2496" s="4">
        <v>749</v>
      </c>
      <c r="K2496" s="21" t="str">
        <f t="shared" si="98"/>
        <v>Windows 10 and 11 Wont Boot, How To Fix UEFI Partition</v>
      </c>
      <c r="L2496" s="20" t="s">
        <v>175</v>
      </c>
      <c r="M2496" s="4"/>
      <c r="N2496" s="2" t="s">
        <v>48</v>
      </c>
      <c r="O2496" s="2"/>
      <c r="P2496" s="4">
        <v>5</v>
      </c>
      <c r="Q2496" s="2" t="s">
        <v>2766</v>
      </c>
      <c r="R2496" s="11">
        <f>SUBTOTAL(3,_xlfn.SINGLE(tbl_file[RowId]))</f>
        <v>1</v>
      </c>
    </row>
    <row r="2497" spans="10:18">
      <c r="J2497" s="4">
        <v>750</v>
      </c>
      <c r="K2497" s="21" t="str">
        <f t="shared" si="98"/>
        <v>Windows 10 and 11 Wont Boot, How To Fix UEFI Partition</v>
      </c>
      <c r="L2497" s="20" t="s">
        <v>175</v>
      </c>
      <c r="M2497" s="4"/>
      <c r="N2497" s="2" t="s">
        <v>119</v>
      </c>
      <c r="O2497" s="2"/>
      <c r="P2497" s="4">
        <v>1</v>
      </c>
      <c r="Q2497" s="2" t="s">
        <v>2767</v>
      </c>
      <c r="R2497" s="11">
        <f>SUBTOTAL(3,_xlfn.SINGLE(tbl_file[RowId]))</f>
        <v>1</v>
      </c>
    </row>
    <row r="2498" spans="10:18">
      <c r="J2498" s="4">
        <v>751</v>
      </c>
      <c r="K2498" s="21" t="str">
        <f t="shared" si="98"/>
        <v>Windows 10 and 11 Wont Boot, How To Fix UEFI Partition</v>
      </c>
      <c r="L2498" s="20" t="s">
        <v>175</v>
      </c>
      <c r="M2498" s="4"/>
      <c r="N2498" s="2" t="s">
        <v>126</v>
      </c>
      <c r="O2498" s="2"/>
      <c r="P2498" s="4">
        <v>1</v>
      </c>
      <c r="Q2498" s="2" t="s">
        <v>2765</v>
      </c>
      <c r="R2498" s="11">
        <f>SUBTOTAL(3,_xlfn.SINGLE(tbl_file[RowId]))</f>
        <v>1</v>
      </c>
    </row>
    <row r="2499" spans="10:18">
      <c r="J2499" s="4">
        <v>752</v>
      </c>
      <c r="K2499" s="21" t="str">
        <f t="shared" si="98"/>
        <v>Windows 10 and 11 Wont Boot, How To Fix UEFI Partition</v>
      </c>
      <c r="L2499" s="20" t="s">
        <v>175</v>
      </c>
      <c r="M2499" s="4"/>
      <c r="N2499" s="2" t="s">
        <v>2606</v>
      </c>
      <c r="O2499" s="2"/>
      <c r="P2499" s="4">
        <v>7</v>
      </c>
      <c r="Q2499" s="2" t="s">
        <v>2768</v>
      </c>
      <c r="R2499" s="11">
        <f>SUBTOTAL(3,_xlfn.SINGLE(tbl_file[RowId]))</f>
        <v>1</v>
      </c>
    </row>
    <row r="2500" spans="10:18">
      <c r="J2500" s="4">
        <v>753</v>
      </c>
      <c r="K2500" s="21" t="str">
        <f t="shared" si="98"/>
        <v>Windows 10 and 11 Wont Boot, How To Fix UEFI Partition</v>
      </c>
      <c r="L2500" s="20" t="s">
        <v>175</v>
      </c>
      <c r="M2500" s="4"/>
      <c r="N2500" s="2" t="s">
        <v>131</v>
      </c>
      <c r="O2500" s="2"/>
      <c r="P2500" s="4">
        <v>1</v>
      </c>
      <c r="Q2500" s="2" t="s">
        <v>1997</v>
      </c>
      <c r="R2500" s="11">
        <f>SUBTOTAL(3,_xlfn.SINGLE(tbl_file[RowId]))</f>
        <v>1</v>
      </c>
    </row>
    <row r="2501" spans="10:18">
      <c r="J2501" s="4">
        <v>754</v>
      </c>
      <c r="K2501" s="21" t="str">
        <f t="shared" si="98"/>
        <v>Windows 10 and 11 Wont Boot, How To Fix UEFI Partition</v>
      </c>
      <c r="L2501" s="20" t="s">
        <v>175</v>
      </c>
      <c r="M2501" s="4"/>
      <c r="N2501" s="2" t="s">
        <v>132</v>
      </c>
      <c r="O2501" s="2"/>
      <c r="P2501" s="4">
        <v>1</v>
      </c>
      <c r="Q2501" s="2" t="s">
        <v>2096</v>
      </c>
      <c r="R2501" s="11">
        <f>SUBTOTAL(3,_xlfn.SINGLE(tbl_file[RowId]))</f>
        <v>1</v>
      </c>
    </row>
    <row r="2502" spans="10:18">
      <c r="J2502" s="4">
        <v>755</v>
      </c>
      <c r="K2502" s="21" t="str">
        <f t="shared" si="98"/>
        <v>Windows 10 and 11 Wont Boot, How To Fix UEFI Partition</v>
      </c>
      <c r="L2502" s="20" t="s">
        <v>175</v>
      </c>
      <c r="M2502" s="4"/>
      <c r="N2502" s="2" t="s">
        <v>137</v>
      </c>
      <c r="O2502" s="2"/>
      <c r="P2502" s="4">
        <v>1</v>
      </c>
      <c r="Q2502" s="2" t="s">
        <v>2227</v>
      </c>
      <c r="R2502" s="11">
        <f>SUBTOTAL(3,_xlfn.SINGLE(tbl_file[RowId]))</f>
        <v>1</v>
      </c>
    </row>
    <row r="2503" spans="10:18">
      <c r="J2503" s="4">
        <v>344</v>
      </c>
      <c r="K2503" s="21" t="str">
        <f t="shared" ref="K2503:K2508" si="99">HYPERLINK("obsidian://open?vault=o2&amp;file=Windows%2011%20Boot%20Issues%20Log.md","Windows 11 Boot Issues Log")</f>
        <v>Windows 11 Boot Issues Log</v>
      </c>
      <c r="L2503" s="20" t="s">
        <v>175</v>
      </c>
      <c r="M2503" s="4"/>
      <c r="N2503" s="2" t="s">
        <v>48</v>
      </c>
      <c r="O2503" s="2"/>
      <c r="P2503" s="4">
        <v>1</v>
      </c>
      <c r="Q2503" s="2" t="s">
        <v>2634</v>
      </c>
      <c r="R2503" s="11">
        <f>SUBTOTAL(3,_xlfn.SINGLE(tbl_file[RowId]))</f>
        <v>1</v>
      </c>
    </row>
    <row r="2504" spans="10:18">
      <c r="J2504" s="4">
        <v>345</v>
      </c>
      <c r="K2504" s="21" t="str">
        <f t="shared" si="99"/>
        <v>Windows 11 Boot Issues Log</v>
      </c>
      <c r="L2504" s="20" t="s">
        <v>175</v>
      </c>
      <c r="M2504" s="4"/>
      <c r="N2504" s="2" t="s">
        <v>118</v>
      </c>
      <c r="O2504" s="2"/>
      <c r="P2504" s="4">
        <v>1</v>
      </c>
      <c r="Q2504" s="2" t="s">
        <v>1641</v>
      </c>
      <c r="R2504" s="11">
        <f>SUBTOTAL(3,_xlfn.SINGLE(tbl_file[RowId]))</f>
        <v>1</v>
      </c>
    </row>
    <row r="2505" spans="10:18">
      <c r="J2505" s="4">
        <v>346</v>
      </c>
      <c r="K2505" s="21" t="str">
        <f t="shared" si="99"/>
        <v>Windows 11 Boot Issues Log</v>
      </c>
      <c r="L2505" s="20" t="s">
        <v>175</v>
      </c>
      <c r="M2505" s="4"/>
      <c r="N2505" s="2" t="s">
        <v>123</v>
      </c>
      <c r="O2505" s="2"/>
      <c r="P2505" s="4">
        <v>1</v>
      </c>
      <c r="Q2505" s="2" t="s">
        <v>1564</v>
      </c>
      <c r="R2505" s="11">
        <f>SUBTOTAL(3,_xlfn.SINGLE(tbl_file[RowId]))</f>
        <v>1</v>
      </c>
    </row>
    <row r="2506" spans="10:18">
      <c r="J2506" s="4">
        <v>347</v>
      </c>
      <c r="K2506" s="21" t="str">
        <f t="shared" si="99"/>
        <v>Windows 11 Boot Issues Log</v>
      </c>
      <c r="L2506" s="20" t="s">
        <v>175</v>
      </c>
      <c r="M2506" s="4"/>
      <c r="N2506" s="2" t="s">
        <v>127</v>
      </c>
      <c r="O2506" s="2"/>
      <c r="P2506" s="4">
        <v>1</v>
      </c>
      <c r="Q2506" s="2" t="s">
        <v>1956</v>
      </c>
      <c r="R2506" s="11">
        <f>SUBTOTAL(3,_xlfn.SINGLE(tbl_file[RowId]))</f>
        <v>1</v>
      </c>
    </row>
    <row r="2507" spans="10:18">
      <c r="J2507" s="4">
        <v>348</v>
      </c>
      <c r="K2507" s="21" t="str">
        <f t="shared" si="99"/>
        <v>Windows 11 Boot Issues Log</v>
      </c>
      <c r="L2507" s="20" t="s">
        <v>175</v>
      </c>
      <c r="M2507" s="4"/>
      <c r="N2507" s="2" t="s">
        <v>2606</v>
      </c>
      <c r="O2507" s="2"/>
      <c r="P2507" s="4">
        <v>1</v>
      </c>
      <c r="Q2507" s="2" t="s">
        <v>2416</v>
      </c>
      <c r="R2507" s="11">
        <f>SUBTOTAL(3,_xlfn.SINGLE(tbl_file[RowId]))</f>
        <v>1</v>
      </c>
    </row>
    <row r="2508" spans="10:18">
      <c r="J2508" s="4">
        <v>349</v>
      </c>
      <c r="K2508" s="21" t="str">
        <f t="shared" si="99"/>
        <v>Windows 11 Boot Issues Log</v>
      </c>
      <c r="L2508" s="20" t="s">
        <v>175</v>
      </c>
      <c r="M2508" s="4"/>
      <c r="N2508" s="2" t="s">
        <v>133</v>
      </c>
      <c r="O2508" s="2"/>
      <c r="P2508" s="4">
        <v>1</v>
      </c>
      <c r="Q2508" s="2" t="s">
        <v>2113</v>
      </c>
      <c r="R2508" s="11">
        <f>SUBTOTAL(3,_xlfn.SINGLE(tbl_file[RowId]))</f>
        <v>1</v>
      </c>
    </row>
    <row r="2509" spans="10:18">
      <c r="J2509" s="4">
        <v>350</v>
      </c>
      <c r="K2509" s="21" t="str">
        <f>HYPERLINK("obsidian://open?vault=o2&amp;file=Windows%2011%20Network%20Drive%20Mapping%20Setup.md","Windows 11 Network Drive Mapping Setup")</f>
        <v>Windows 11 Network Drive Mapping Setup</v>
      </c>
      <c r="L2509" s="20" t="s">
        <v>175</v>
      </c>
      <c r="M2509" s="4"/>
      <c r="N2509" s="2" t="s">
        <v>17</v>
      </c>
      <c r="O2509" s="2"/>
      <c r="P2509" s="4">
        <v>1</v>
      </c>
      <c r="Q2509" s="2" t="s">
        <v>2667</v>
      </c>
      <c r="R2509" s="11">
        <f>SUBTOTAL(3,_xlfn.SINGLE(tbl_file[RowId]))</f>
        <v>1</v>
      </c>
    </row>
    <row r="2510" spans="10:18">
      <c r="J2510" s="4">
        <v>351</v>
      </c>
      <c r="K2510" s="21" t="str">
        <f>HYPERLINK("obsidian://open?vault=o2&amp;file=Windows%2011%20Network%20Drive%20Mapping%20Setup.md","Windows 11 Network Drive Mapping Setup")</f>
        <v>Windows 11 Network Drive Mapping Setup</v>
      </c>
      <c r="L2510" s="20" t="s">
        <v>175</v>
      </c>
      <c r="M2510" s="4"/>
      <c r="N2510" s="2" t="s">
        <v>50</v>
      </c>
      <c r="O2510" s="2"/>
      <c r="P2510" s="4">
        <v>1</v>
      </c>
      <c r="Q2510" s="2" t="s">
        <v>1653</v>
      </c>
      <c r="R2510" s="11">
        <f>SUBTOTAL(3,_xlfn.SINGLE(tbl_file[RowId]))</f>
        <v>1</v>
      </c>
    </row>
    <row r="2511" spans="10:18">
      <c r="J2511" s="4">
        <v>352</v>
      </c>
      <c r="K2511" s="21" t="str">
        <f>HYPERLINK("obsidian://open?vault=o2&amp;file=Windows%2011%20Network%20Drive%20Mapping%20Setup.md","Windows 11 Network Drive Mapping Setup")</f>
        <v>Windows 11 Network Drive Mapping Setup</v>
      </c>
      <c r="L2511" s="20" t="s">
        <v>175</v>
      </c>
      <c r="M2511" s="4"/>
      <c r="N2511" s="2" t="s">
        <v>127</v>
      </c>
      <c r="O2511" s="2"/>
      <c r="P2511" s="4">
        <v>1</v>
      </c>
      <c r="Q2511" s="2" t="s">
        <v>1958</v>
      </c>
      <c r="R2511" s="11">
        <f>SUBTOTAL(3,_xlfn.SINGLE(tbl_file[RowId]))</f>
        <v>1</v>
      </c>
    </row>
    <row r="2512" spans="10:18">
      <c r="J2512" s="4">
        <v>353</v>
      </c>
      <c r="K2512" s="21" t="str">
        <f>HYPERLINK("obsidian://open?vault=o2&amp;file=Windows%2011%20Network%20Drive%20Mapping%20Setup.md","Windows 11 Network Drive Mapping Setup")</f>
        <v>Windows 11 Network Drive Mapping Setup</v>
      </c>
      <c r="L2512" s="20" t="s">
        <v>175</v>
      </c>
      <c r="M2512" s="4"/>
      <c r="N2512" s="2" t="s">
        <v>2606</v>
      </c>
      <c r="O2512" s="2"/>
      <c r="P2512" s="4">
        <v>4</v>
      </c>
      <c r="Q2512" s="2" t="s">
        <v>2642</v>
      </c>
      <c r="R2512" s="11">
        <f>SUBTOTAL(3,_xlfn.SINGLE(tbl_file[RowId]))</f>
        <v>1</v>
      </c>
    </row>
    <row r="2513" spans="10:18">
      <c r="J2513" s="4">
        <v>354</v>
      </c>
      <c r="K2513" s="21" t="str">
        <f>HYPERLINK("obsidian://open?vault=o2&amp;file=Windows%2011%20Network%20Drive%20Mapping%20Setup.md","Windows 11 Network Drive Mapping Setup")</f>
        <v>Windows 11 Network Drive Mapping Setup</v>
      </c>
      <c r="L2513" s="20" t="s">
        <v>175</v>
      </c>
      <c r="M2513" s="4"/>
      <c r="N2513" s="2" t="s">
        <v>133</v>
      </c>
      <c r="O2513" s="2"/>
      <c r="P2513" s="4">
        <v>1</v>
      </c>
      <c r="Q2513" s="2" t="s">
        <v>2614</v>
      </c>
      <c r="R2513" s="11">
        <f>SUBTOTAL(3,_xlfn.SINGLE(tbl_file[RowId]))</f>
        <v>1</v>
      </c>
    </row>
    <row r="2514" spans="10:18">
      <c r="J2514" s="4">
        <v>79</v>
      </c>
      <c r="K2514" s="21" t="str">
        <f>HYPERLINK("obsidian://open?vault=o2&amp;file=Xfinity%20Modem.md","Xfinity Modem")</f>
        <v>Xfinity Modem</v>
      </c>
      <c r="L2514" s="20" t="s">
        <v>175</v>
      </c>
      <c r="M2514" s="4"/>
      <c r="N2514" s="2" t="s">
        <v>127</v>
      </c>
      <c r="O2514" s="2"/>
      <c r="P2514" s="4">
        <v>1</v>
      </c>
      <c r="Q2514" s="2" t="s">
        <v>1960</v>
      </c>
      <c r="R2514" s="11">
        <f>SUBTOTAL(3,_xlfn.SINGLE(tbl_file[RowId]))</f>
        <v>1</v>
      </c>
    </row>
    <row r="2515" spans="10:18">
      <c r="J2515" s="4">
        <v>80</v>
      </c>
      <c r="K2515" s="21" t="str">
        <f>HYPERLINK("obsidian://open?vault=o2&amp;file=Xfinity%20Modem.md","Xfinity Modem")</f>
        <v>Xfinity Modem</v>
      </c>
      <c r="L2515" s="20" t="s">
        <v>175</v>
      </c>
      <c r="M2515" s="4"/>
      <c r="N2515" s="2" t="s">
        <v>133</v>
      </c>
      <c r="O2515" s="2"/>
      <c r="P2515" s="4">
        <v>1</v>
      </c>
      <c r="Q2515" s="2" t="s">
        <v>2111</v>
      </c>
      <c r="R2515" s="11">
        <f>SUBTOTAL(3,_xlfn.SINGLE(tbl_file[RowId]))</f>
        <v>1</v>
      </c>
    </row>
    <row r="2516" spans="10:18">
      <c r="J2516" s="4">
        <v>135</v>
      </c>
      <c r="K2516" s="21" t="str">
        <f t="shared" ref="K2516:K2522" si="100">HYPERLINK("obsidian://open?vault=o2&amp;file=YAML%20Fix%20Tool.md","YAML Fix Tool")</f>
        <v>YAML Fix Tool</v>
      </c>
      <c r="L2516" s="20" t="s">
        <v>175</v>
      </c>
      <c r="M2516" s="4"/>
      <c r="N2516" s="2" t="s">
        <v>48</v>
      </c>
      <c r="O2516" s="2"/>
      <c r="P2516" s="4">
        <v>1</v>
      </c>
      <c r="Q2516" s="2"/>
      <c r="R2516" s="11">
        <f>SUBTOTAL(3,_xlfn.SINGLE(tbl_file[RowId]))</f>
        <v>1</v>
      </c>
    </row>
    <row r="2517" spans="10:18">
      <c r="J2517" s="4">
        <v>136</v>
      </c>
      <c r="K2517" s="21" t="str">
        <f t="shared" si="100"/>
        <v>YAML Fix Tool</v>
      </c>
      <c r="L2517" s="20" t="s">
        <v>175</v>
      </c>
      <c r="M2517" s="4"/>
      <c r="N2517" s="2" t="s">
        <v>50</v>
      </c>
      <c r="O2517" s="2"/>
      <c r="P2517" s="4">
        <v>1</v>
      </c>
      <c r="Q2517" s="2" t="s">
        <v>2634</v>
      </c>
      <c r="R2517" s="11">
        <f>SUBTOTAL(3,_xlfn.SINGLE(tbl_file[RowId]))</f>
        <v>1</v>
      </c>
    </row>
    <row r="2518" spans="10:18">
      <c r="J2518" s="4">
        <v>137</v>
      </c>
      <c r="K2518" s="21" t="str">
        <f t="shared" si="100"/>
        <v>YAML Fix Tool</v>
      </c>
      <c r="L2518" s="20" t="s">
        <v>175</v>
      </c>
      <c r="M2518" s="4"/>
      <c r="N2518" s="2" t="s">
        <v>118</v>
      </c>
      <c r="O2518" s="2"/>
      <c r="P2518" s="4">
        <v>1</v>
      </c>
      <c r="Q2518" s="2" t="s">
        <v>1641</v>
      </c>
      <c r="R2518" s="11">
        <f>SUBTOTAL(3,_xlfn.SINGLE(tbl_file[RowId]))</f>
        <v>1</v>
      </c>
    </row>
    <row r="2519" spans="10:18">
      <c r="J2519" s="4">
        <v>138</v>
      </c>
      <c r="K2519" s="21" t="str">
        <f t="shared" si="100"/>
        <v>YAML Fix Tool</v>
      </c>
      <c r="L2519" s="20" t="s">
        <v>175</v>
      </c>
      <c r="M2519" s="4"/>
      <c r="N2519" s="2" t="s">
        <v>123</v>
      </c>
      <c r="O2519" s="2" t="s">
        <v>2635</v>
      </c>
      <c r="P2519" s="4">
        <v>1</v>
      </c>
      <c r="Q2519" s="2" t="s">
        <v>1564</v>
      </c>
      <c r="R2519" s="11">
        <f>SUBTOTAL(3,_xlfn.SINGLE(tbl_file[RowId]))</f>
        <v>1</v>
      </c>
    </row>
    <row r="2520" spans="10:18">
      <c r="J2520" s="4">
        <v>139</v>
      </c>
      <c r="K2520" s="21" t="str">
        <f t="shared" si="100"/>
        <v>YAML Fix Tool</v>
      </c>
      <c r="L2520" s="20" t="s">
        <v>175</v>
      </c>
      <c r="M2520" s="4"/>
      <c r="N2520" s="2" t="s">
        <v>127</v>
      </c>
      <c r="O2520" s="2"/>
      <c r="P2520" s="4">
        <v>1</v>
      </c>
      <c r="Q2520" s="2" t="s">
        <v>1956</v>
      </c>
      <c r="R2520" s="11">
        <f>SUBTOTAL(3,_xlfn.SINGLE(tbl_file[RowId]))</f>
        <v>1</v>
      </c>
    </row>
    <row r="2521" spans="10:18">
      <c r="J2521" s="4">
        <v>140</v>
      </c>
      <c r="K2521" s="21" t="str">
        <f t="shared" si="100"/>
        <v>YAML Fix Tool</v>
      </c>
      <c r="L2521" s="20" t="s">
        <v>175</v>
      </c>
      <c r="M2521" s="4"/>
      <c r="N2521" s="2" t="s">
        <v>2606</v>
      </c>
      <c r="O2521" s="2"/>
      <c r="P2521" s="4">
        <v>2</v>
      </c>
      <c r="Q2521" s="2" t="s">
        <v>2636</v>
      </c>
      <c r="R2521" s="11">
        <f>SUBTOTAL(3,_xlfn.SINGLE(tbl_file[RowId]))</f>
        <v>1</v>
      </c>
    </row>
    <row r="2522" spans="10:18">
      <c r="J2522" s="4">
        <v>141</v>
      </c>
      <c r="K2522" s="21" t="str">
        <f t="shared" si="100"/>
        <v>YAML Fix Tool</v>
      </c>
      <c r="L2522" s="20" t="s">
        <v>175</v>
      </c>
      <c r="M2522" s="4"/>
      <c r="N2522" s="2" t="s">
        <v>133</v>
      </c>
      <c r="O2522" s="2" t="s">
        <v>2637</v>
      </c>
      <c r="P2522" s="4">
        <v>1</v>
      </c>
      <c r="Q2522" s="2" t="s">
        <v>2113</v>
      </c>
      <c r="R2522" s="11">
        <f>SUBTOTAL(3,_xlfn.SINGLE(tbl_file[RowId]))</f>
        <v>1</v>
      </c>
    </row>
    <row r="2523" spans="10:18">
      <c r="J2523" s="4">
        <v>251</v>
      </c>
      <c r="K2523" s="21" t="str">
        <f>HYPERLINK("obsidian://open?vault=o2&amp;file=YAML%20Tool%20Definition.md","YAML Tool Definition")</f>
        <v>YAML Tool Definition</v>
      </c>
      <c r="L2523" s="20" t="s">
        <v>175</v>
      </c>
      <c r="M2523" s="4"/>
      <c r="N2523" s="2" t="s">
        <v>118</v>
      </c>
      <c r="O2523" s="2"/>
      <c r="P2523" s="4">
        <v>1</v>
      </c>
      <c r="Q2523" s="2" t="s">
        <v>1641</v>
      </c>
      <c r="R2523" s="11">
        <f>SUBTOTAL(3,_xlfn.SINGLE(tbl_file[RowId]))</f>
        <v>1</v>
      </c>
    </row>
    <row r="2524" spans="10:18">
      <c r="J2524" s="4">
        <v>252</v>
      </c>
      <c r="K2524" s="21" t="str">
        <f>HYPERLINK("obsidian://open?vault=o2&amp;file=YAML%20Tool%20Definition.md","YAML Tool Definition")</f>
        <v>YAML Tool Definition</v>
      </c>
      <c r="L2524" s="20" t="s">
        <v>175</v>
      </c>
      <c r="M2524" s="4"/>
      <c r="N2524" s="2" t="s">
        <v>123</v>
      </c>
      <c r="O2524" s="2"/>
      <c r="P2524" s="4">
        <v>1</v>
      </c>
      <c r="Q2524" s="2" t="s">
        <v>1564</v>
      </c>
      <c r="R2524" s="11">
        <f>SUBTOTAL(3,_xlfn.SINGLE(tbl_file[RowId]))</f>
        <v>1</v>
      </c>
    </row>
    <row r="2525" spans="10:18">
      <c r="J2525" s="4">
        <v>253</v>
      </c>
      <c r="K2525" s="21" t="str">
        <f>HYPERLINK("obsidian://open?vault=o2&amp;file=YAML%20Tool%20Definition.md","YAML Tool Definition")</f>
        <v>YAML Tool Definition</v>
      </c>
      <c r="L2525" s="20" t="s">
        <v>175</v>
      </c>
      <c r="M2525" s="4"/>
      <c r="N2525" s="2" t="s">
        <v>127</v>
      </c>
      <c r="O2525" s="2"/>
      <c r="P2525" s="4">
        <v>1</v>
      </c>
      <c r="Q2525" s="2" t="s">
        <v>1956</v>
      </c>
      <c r="R2525" s="11">
        <f>SUBTOTAL(3,_xlfn.SINGLE(tbl_file[RowId]))</f>
        <v>1</v>
      </c>
    </row>
    <row r="2526" spans="10:18">
      <c r="J2526" s="4">
        <v>254</v>
      </c>
      <c r="K2526" s="21" t="str">
        <f>HYPERLINK("obsidian://open?vault=o2&amp;file=YAML%20Tool%20Definition.md","YAML Tool Definition")</f>
        <v>YAML Tool Definition</v>
      </c>
      <c r="L2526" s="20" t="s">
        <v>175</v>
      </c>
      <c r="M2526" s="4"/>
      <c r="N2526" s="2" t="s">
        <v>2606</v>
      </c>
      <c r="O2526" s="2"/>
      <c r="P2526" s="4">
        <v>3</v>
      </c>
      <c r="Q2526" s="2" t="s">
        <v>2655</v>
      </c>
      <c r="R2526" s="11">
        <f>SUBTOTAL(3,_xlfn.SINGLE(tbl_file[RowId]))</f>
        <v>1</v>
      </c>
    </row>
    <row r="2527" spans="10:18">
      <c r="J2527" s="4">
        <v>255</v>
      </c>
      <c r="K2527" s="21" t="str">
        <f>HYPERLINK("obsidian://open?vault=o2&amp;file=YAML%20Tool%20Definition.md","YAML Tool Definition")</f>
        <v>YAML Tool Definition</v>
      </c>
      <c r="L2527" s="20" t="s">
        <v>175</v>
      </c>
      <c r="M2527" s="4"/>
      <c r="N2527" s="2" t="s">
        <v>133</v>
      </c>
      <c r="O2527" s="2"/>
      <c r="P2527" s="4">
        <v>1</v>
      </c>
      <c r="Q2527" s="2" t="s">
        <v>2113</v>
      </c>
      <c r="R2527" s="11">
        <f>SUBTOTAL(3,_xlfn.SINGLE(tbl_file[RowId]))</f>
        <v>1</v>
      </c>
    </row>
    <row r="2528" spans="10:18">
      <c r="J2528" s="4">
        <v>256</v>
      </c>
      <c r="K2528" s="21" t="str">
        <f>HYPERLINK("obsidian://open?vault=o2&amp;file=yaml_fix2_create_excel_report.md","yaml_fix2_create_excel_report")</f>
        <v>yaml_fix2_create_excel_report</v>
      </c>
      <c r="L2528" s="20" t="s">
        <v>175</v>
      </c>
      <c r="M2528" s="4"/>
      <c r="N2528" s="2" t="s">
        <v>118</v>
      </c>
      <c r="O2528" s="2"/>
      <c r="P2528" s="4">
        <v>1</v>
      </c>
      <c r="Q2528" s="2" t="s">
        <v>1641</v>
      </c>
      <c r="R2528" s="11">
        <f>SUBTOTAL(3,_xlfn.SINGLE(tbl_file[RowId]))</f>
        <v>1</v>
      </c>
    </row>
    <row r="2529" spans="10:18">
      <c r="J2529" s="4">
        <v>257</v>
      </c>
      <c r="K2529" s="21" t="str">
        <f>HYPERLINK("obsidian://open?vault=o2&amp;file=yaml_fix2_create_excel_report.md","yaml_fix2_create_excel_report")</f>
        <v>yaml_fix2_create_excel_report</v>
      </c>
      <c r="L2529" s="20" t="s">
        <v>175</v>
      </c>
      <c r="M2529" s="4"/>
      <c r="N2529" s="2" t="s">
        <v>123</v>
      </c>
      <c r="O2529" s="2"/>
      <c r="P2529" s="4">
        <v>1</v>
      </c>
      <c r="Q2529" s="2" t="s">
        <v>1564</v>
      </c>
      <c r="R2529" s="11">
        <f>SUBTOTAL(3,_xlfn.SINGLE(tbl_file[RowId]))</f>
        <v>1</v>
      </c>
    </row>
    <row r="2530" spans="10:18">
      <c r="J2530" s="4">
        <v>258</v>
      </c>
      <c r="K2530" s="21" t="str">
        <f>HYPERLINK("obsidian://open?vault=o2&amp;file=yaml_fix2_create_excel_report.md","yaml_fix2_create_excel_report")</f>
        <v>yaml_fix2_create_excel_report</v>
      </c>
      <c r="L2530" s="20" t="s">
        <v>175</v>
      </c>
      <c r="M2530" s="4"/>
      <c r="N2530" s="2" t="s">
        <v>127</v>
      </c>
      <c r="O2530" s="2"/>
      <c r="P2530" s="4">
        <v>1</v>
      </c>
      <c r="Q2530" s="2" t="s">
        <v>1956</v>
      </c>
      <c r="R2530" s="11">
        <f>SUBTOTAL(3,_xlfn.SINGLE(tbl_file[RowId]))</f>
        <v>1</v>
      </c>
    </row>
    <row r="2531" spans="10:18">
      <c r="J2531" s="4">
        <v>259</v>
      </c>
      <c r="K2531" s="21" t="str">
        <f>HYPERLINK("obsidian://open?vault=o2&amp;file=yaml_fix2_create_excel_report.md","yaml_fix2_create_excel_report")</f>
        <v>yaml_fix2_create_excel_report</v>
      </c>
      <c r="L2531" s="20" t="s">
        <v>175</v>
      </c>
      <c r="M2531" s="4"/>
      <c r="N2531" s="2" t="s">
        <v>2606</v>
      </c>
      <c r="O2531" s="2"/>
      <c r="P2531" s="4">
        <v>1</v>
      </c>
      <c r="Q2531" s="2" t="s">
        <v>2416</v>
      </c>
      <c r="R2531" s="11">
        <f>SUBTOTAL(3,_xlfn.SINGLE(tbl_file[RowId]))</f>
        <v>1</v>
      </c>
    </row>
    <row r="2532" spans="10:18">
      <c r="J2532" s="4">
        <v>260</v>
      </c>
      <c r="K2532" s="21" t="str">
        <f>HYPERLINK("obsidian://open?vault=o2&amp;file=yaml_fix2_create_excel_report.md","yaml_fix2_create_excel_report")</f>
        <v>yaml_fix2_create_excel_report</v>
      </c>
      <c r="L2532" s="20" t="s">
        <v>175</v>
      </c>
      <c r="M2532" s="4"/>
      <c r="N2532" s="2" t="s">
        <v>133</v>
      </c>
      <c r="O2532" s="2"/>
      <c r="P2532" s="4">
        <v>1</v>
      </c>
      <c r="Q2532" s="2" t="s">
        <v>2113</v>
      </c>
      <c r="R2532" s="11">
        <f>SUBTOTAL(3,_xlfn.SINGLE(tbl_file[RowId]))</f>
        <v>1</v>
      </c>
    </row>
    <row r="2533" spans="10:18">
      <c r="J2533" s="4">
        <v>1144</v>
      </c>
      <c r="K2533" s="21" t="str">
        <f t="shared" ref="K2533:K2539" si="101">HYPERLINK("obsidian://open?vault=o2&amp;file=YTV%20Template.md","YTV Template")</f>
        <v>YTV Template</v>
      </c>
      <c r="L2533" s="20" t="s">
        <v>175</v>
      </c>
      <c r="M2533" s="4"/>
      <c r="N2533" s="2" t="s">
        <v>52</v>
      </c>
      <c r="O2533" s="2"/>
      <c r="P2533" s="4">
        <v>1</v>
      </c>
      <c r="Q2533" s="2" t="s">
        <v>1715</v>
      </c>
      <c r="R2533" s="11">
        <f>SUBTOTAL(3,_xlfn.SINGLE(tbl_file[RowId]))</f>
        <v>1</v>
      </c>
    </row>
    <row r="2534" spans="10:18">
      <c r="J2534" s="4">
        <v>1145</v>
      </c>
      <c r="K2534" s="21" t="str">
        <f t="shared" si="101"/>
        <v>YTV Template</v>
      </c>
      <c r="L2534" s="20" t="s">
        <v>175</v>
      </c>
      <c r="M2534" s="4"/>
      <c r="N2534" s="2" t="s">
        <v>118</v>
      </c>
      <c r="O2534" s="2"/>
      <c r="P2534" s="4">
        <v>1</v>
      </c>
      <c r="Q2534" s="2" t="s">
        <v>1641</v>
      </c>
      <c r="R2534" s="11">
        <f>SUBTOTAL(3,_xlfn.SINGLE(tbl_file[RowId]))</f>
        <v>1</v>
      </c>
    </row>
    <row r="2535" spans="10:18">
      <c r="J2535" s="4">
        <v>1146</v>
      </c>
      <c r="K2535" s="21" t="str">
        <f t="shared" si="101"/>
        <v>YTV Template</v>
      </c>
      <c r="L2535" s="20" t="s">
        <v>175</v>
      </c>
      <c r="M2535" s="4"/>
      <c r="N2535" s="2" t="s">
        <v>120</v>
      </c>
      <c r="O2535" s="2"/>
      <c r="P2535" s="4">
        <v>1</v>
      </c>
      <c r="Q2535" s="2" t="s">
        <v>1834</v>
      </c>
      <c r="R2535" s="11">
        <f>SUBTOTAL(3,_xlfn.SINGLE(tbl_file[RowId]))</f>
        <v>1</v>
      </c>
    </row>
    <row r="2536" spans="10:18">
      <c r="J2536" s="4">
        <v>1147</v>
      </c>
      <c r="K2536" s="21" t="str">
        <f t="shared" si="101"/>
        <v>YTV Template</v>
      </c>
      <c r="L2536" s="20" t="s">
        <v>175</v>
      </c>
      <c r="M2536" s="4"/>
      <c r="N2536" s="2" t="s">
        <v>121</v>
      </c>
      <c r="O2536" s="2"/>
      <c r="P2536" s="4">
        <v>1</v>
      </c>
      <c r="Q2536" s="2" t="s">
        <v>1844</v>
      </c>
      <c r="R2536" s="11">
        <f>SUBTOTAL(3,_xlfn.SINGLE(tbl_file[RowId]))</f>
        <v>1</v>
      </c>
    </row>
    <row r="2537" spans="10:18">
      <c r="J2537" s="4">
        <v>1148</v>
      </c>
      <c r="K2537" s="21" t="str">
        <f t="shared" si="101"/>
        <v>YTV Template</v>
      </c>
      <c r="L2537" s="20" t="s">
        <v>175</v>
      </c>
      <c r="M2537" s="4"/>
      <c r="N2537" s="2" t="s">
        <v>129</v>
      </c>
      <c r="O2537" s="2"/>
      <c r="P2537" s="4">
        <v>1</v>
      </c>
      <c r="Q2537" s="2" t="s">
        <v>1974</v>
      </c>
      <c r="R2537" s="11">
        <f>SUBTOTAL(3,_xlfn.SINGLE(tbl_file[RowId]))</f>
        <v>1</v>
      </c>
    </row>
    <row r="2538" spans="10:18">
      <c r="J2538" s="4">
        <v>1149</v>
      </c>
      <c r="K2538" s="21" t="str">
        <f t="shared" si="101"/>
        <v>YTV Template</v>
      </c>
      <c r="L2538" s="20" t="s">
        <v>175</v>
      </c>
      <c r="M2538" s="4"/>
      <c r="N2538" s="2" t="s">
        <v>2606</v>
      </c>
      <c r="O2538" s="2"/>
      <c r="P2538" s="4">
        <v>3</v>
      </c>
      <c r="Q2538" s="2" t="s">
        <v>2990</v>
      </c>
      <c r="R2538" s="11">
        <f>SUBTOTAL(3,_xlfn.SINGLE(tbl_file[RowId]))</f>
        <v>1</v>
      </c>
    </row>
    <row r="2539" spans="10:18">
      <c r="J2539" s="4">
        <v>1150</v>
      </c>
      <c r="K2539" s="21" t="str">
        <f t="shared" si="101"/>
        <v>YTV Template</v>
      </c>
      <c r="L2539" s="20" t="s">
        <v>175</v>
      </c>
      <c r="M2539" s="4"/>
      <c r="N2539" s="2" t="s">
        <v>2255</v>
      </c>
      <c r="O2539" s="2"/>
      <c r="P2539" s="4">
        <v>1</v>
      </c>
      <c r="Q2539" s="2" t="s">
        <v>2256</v>
      </c>
      <c r="R2539" s="11">
        <f>SUBTOTAL(3,_xlfn.SINGLE(tbl_file[RowId]))</f>
        <v>1</v>
      </c>
    </row>
    <row r="2540" spans="10:18">
      <c r="J2540" s="4">
        <v>2406</v>
      </c>
      <c r="K2540" s="21" t="str">
        <f>HYPERLINK("obsidian://open?vault=o2&amp;file=Zettelkasten.md","Zettelkasten")</f>
        <v>Zettelkasten</v>
      </c>
      <c r="L2540" s="20" t="s">
        <v>175</v>
      </c>
      <c r="M2540" s="4"/>
      <c r="N2540" s="2" t="s">
        <v>50</v>
      </c>
      <c r="O2540" s="2"/>
      <c r="P2540" s="4">
        <v>1</v>
      </c>
      <c r="Q2540" s="2" t="s">
        <v>1436</v>
      </c>
      <c r="R2540" s="11">
        <f>SUBTOTAL(3,_xlfn.SINGLE(tbl_file[RowId]))</f>
        <v>1</v>
      </c>
    </row>
    <row r="2541" spans="10:18">
      <c r="J2541" s="4">
        <v>81</v>
      </c>
      <c r="K2541" s="21" t="str">
        <f t="shared" ref="K2541:K2546" si="102">HYPERLINK("obsidian://open?vault=o2&amp;file=Zimaboard%20Hardware%20Ports.md","Zimaboard Hardware Ports")</f>
        <v>Zimaboard Hardware Ports</v>
      </c>
      <c r="L2541" s="20" t="s">
        <v>175</v>
      </c>
      <c r="M2541" s="4"/>
      <c r="N2541" s="2" t="s">
        <v>19</v>
      </c>
      <c r="O2541" s="2"/>
      <c r="P2541" s="4">
        <v>1</v>
      </c>
      <c r="Q2541" s="2" t="s">
        <v>391</v>
      </c>
      <c r="R2541" s="11">
        <f>SUBTOTAL(3,_xlfn.SINGLE(tbl_file[RowId]))</f>
        <v>1</v>
      </c>
    </row>
    <row r="2542" spans="10:18">
      <c r="J2542" s="4">
        <v>82</v>
      </c>
      <c r="K2542" s="21" t="str">
        <f t="shared" si="102"/>
        <v>Zimaboard Hardware Ports</v>
      </c>
      <c r="L2542" s="20" t="s">
        <v>175</v>
      </c>
      <c r="M2542" s="4"/>
      <c r="N2542" s="2" t="s">
        <v>48</v>
      </c>
      <c r="O2542" s="2"/>
      <c r="P2542" s="4">
        <v>1</v>
      </c>
      <c r="Q2542" s="2" t="s">
        <v>770</v>
      </c>
      <c r="R2542" s="11">
        <f>SUBTOTAL(3,_xlfn.SINGLE(tbl_file[RowId]))</f>
        <v>1</v>
      </c>
    </row>
    <row r="2543" spans="10:18">
      <c r="J2543" s="4">
        <v>83</v>
      </c>
      <c r="K2543" s="21" t="str">
        <f t="shared" si="102"/>
        <v>Zimaboard Hardware Ports</v>
      </c>
      <c r="L2543" s="20" t="s">
        <v>175</v>
      </c>
      <c r="M2543" s="4"/>
      <c r="N2543" s="2" t="s">
        <v>125</v>
      </c>
      <c r="O2543" s="2"/>
      <c r="P2543" s="4">
        <v>1</v>
      </c>
      <c r="Q2543" s="2" t="s">
        <v>1893</v>
      </c>
      <c r="R2543" s="11">
        <f>SUBTOTAL(3,_xlfn.SINGLE(tbl_file[RowId]))</f>
        <v>1</v>
      </c>
    </row>
    <row r="2544" spans="10:18">
      <c r="J2544" s="4">
        <v>84</v>
      </c>
      <c r="K2544" s="21" t="str">
        <f t="shared" si="102"/>
        <v>Zimaboard Hardware Ports</v>
      </c>
      <c r="L2544" s="20" t="s">
        <v>175</v>
      </c>
      <c r="M2544" s="4"/>
      <c r="N2544" s="2" t="s">
        <v>127</v>
      </c>
      <c r="O2544" s="2"/>
      <c r="P2544" s="4">
        <v>1</v>
      </c>
      <c r="Q2544" s="2" t="s">
        <v>1960</v>
      </c>
      <c r="R2544" s="11">
        <f>SUBTOTAL(3,_xlfn.SINGLE(tbl_file[RowId]))</f>
        <v>1</v>
      </c>
    </row>
    <row r="2545" spans="10:18">
      <c r="J2545" s="4">
        <v>85</v>
      </c>
      <c r="K2545" s="21" t="str">
        <f t="shared" si="102"/>
        <v>Zimaboard Hardware Ports</v>
      </c>
      <c r="L2545" s="20" t="s">
        <v>175</v>
      </c>
      <c r="M2545" s="4"/>
      <c r="N2545" s="2" t="s">
        <v>2606</v>
      </c>
      <c r="O2545" s="2"/>
      <c r="P2545" s="4">
        <v>2</v>
      </c>
      <c r="Q2545" s="2" t="s">
        <v>2624</v>
      </c>
      <c r="R2545" s="11">
        <f>SUBTOTAL(3,_xlfn.SINGLE(tbl_file[RowId]))</f>
        <v>1</v>
      </c>
    </row>
    <row r="2546" spans="10:18">
      <c r="J2546" s="4">
        <v>86</v>
      </c>
      <c r="K2546" s="21" t="str">
        <f t="shared" si="102"/>
        <v>Zimaboard Hardware Ports</v>
      </c>
      <c r="L2546" s="20" t="s">
        <v>175</v>
      </c>
      <c r="M2546" s="4"/>
      <c r="N2546" s="2" t="s">
        <v>133</v>
      </c>
      <c r="O2546" s="2"/>
      <c r="P2546" s="4">
        <v>1</v>
      </c>
      <c r="Q2546" s="2" t="s">
        <v>2111</v>
      </c>
      <c r="R2546" s="11">
        <f>SUBTOTAL(3,_xlfn.SINGLE(tbl_file[RowId]))</f>
        <v>1</v>
      </c>
    </row>
    <row r="2547" spans="10:18">
      <c r="J2547" s="4">
        <v>2627</v>
      </c>
      <c r="K2547" s="21" t="str">
        <f>HYPERLINK("obsidian://open?vault=o2&amp;file=%F0%9F%8C%9E%20My%20Greenhouse.md","🌞 My Greenhouse")</f>
        <v>🌞 My Greenhouse</v>
      </c>
      <c r="L2547" s="20" t="s">
        <v>175</v>
      </c>
      <c r="M2547" s="4"/>
      <c r="N2547" s="2" t="s">
        <v>50</v>
      </c>
      <c r="O2547" s="2"/>
      <c r="P2547" s="4">
        <v>1</v>
      </c>
      <c r="Q2547" s="2" t="s">
        <v>1582</v>
      </c>
      <c r="R2547" s="11">
        <f>SUBTOTAL(3,_xlfn.SINGLE(tbl_file[RowId]))</f>
        <v>1</v>
      </c>
    </row>
    <row r="2548" spans="10:18">
      <c r="J2548" s="4">
        <v>2628</v>
      </c>
      <c r="K2548" s="21" t="str">
        <f>HYPERLINK("obsidian://open?vault=o2&amp;file=%F0%9F%8C%9E%20My%20Greenhouse.md","🌞 My Greenhouse")</f>
        <v>🌞 My Greenhouse</v>
      </c>
      <c r="L2548" s="20" t="s">
        <v>175</v>
      </c>
      <c r="M2548" s="4"/>
      <c r="N2548" s="2" t="s">
        <v>2606</v>
      </c>
      <c r="O2548" s="2"/>
      <c r="P2548" s="4">
        <v>1</v>
      </c>
      <c r="Q2548" s="2" t="s">
        <v>2575</v>
      </c>
      <c r="R2548" s="11">
        <f>SUBTOTAL(3,_xlfn.SINGLE(tbl_file[RowId]))</f>
        <v>1</v>
      </c>
    </row>
    <row r="2549" spans="10:18">
      <c r="J2549" s="4">
        <v>2629</v>
      </c>
      <c r="K2549" s="21" t="str">
        <f>HYPERLINK("obsidian://open?vault=o2&amp;file=%F0%9F%8C%9E%20My%20Greenhouse.md","🌞 My Greenhouse")</f>
        <v>🌞 My Greenhouse</v>
      </c>
      <c r="L2549" s="20" t="s">
        <v>175</v>
      </c>
      <c r="M2549" s="4" t="s">
        <v>2626</v>
      </c>
      <c r="N2549" s="2" t="s">
        <v>2606</v>
      </c>
      <c r="O2549" s="2"/>
      <c r="P2549" s="4">
        <v>1</v>
      </c>
      <c r="Q2549" s="2" t="s">
        <v>2415</v>
      </c>
      <c r="R2549" s="11">
        <f>SUBTOTAL(3,_xlfn.SINGLE(tbl_file[RowId]))</f>
        <v>1</v>
      </c>
    </row>
    <row r="2550" spans="10:18">
      <c r="J2550" s="4">
        <v>2630</v>
      </c>
      <c r="K2550" s="21" t="str">
        <f>HYPERLINK("obsidian://open?vault=o2&amp;file=%F0%9F%8F%A0%20My%20Home.md","🏠 My Home")</f>
        <v>🏠 My Home</v>
      </c>
      <c r="L2550" s="20" t="s">
        <v>175</v>
      </c>
      <c r="M2550" s="4"/>
      <c r="N2550" s="2" t="s">
        <v>50</v>
      </c>
      <c r="O2550" s="2"/>
      <c r="P2550" s="4">
        <v>3</v>
      </c>
      <c r="Q2550" s="2" t="s">
        <v>3264</v>
      </c>
      <c r="R2550" s="11">
        <f>SUBTOTAL(3,_xlfn.SINGLE(tbl_file[RowId]))</f>
        <v>1</v>
      </c>
    </row>
    <row r="2551" spans="10:18">
      <c r="J2551" s="4">
        <v>2631</v>
      </c>
      <c r="K2551" s="21" t="str">
        <f>HYPERLINK("obsidian://open?vault=o2&amp;file=%F0%9F%8F%A0%20My%20Home.md","🏠 My Home")</f>
        <v>🏠 My Home</v>
      </c>
      <c r="L2551" s="20" t="s">
        <v>175</v>
      </c>
      <c r="M2551" s="4"/>
      <c r="N2551" s="2" t="s">
        <v>2606</v>
      </c>
      <c r="O2551" s="2"/>
      <c r="P2551" s="4">
        <v>3</v>
      </c>
      <c r="Q2551" s="2" t="s">
        <v>3265</v>
      </c>
      <c r="R2551" s="11">
        <f>SUBTOTAL(3,_xlfn.SINGLE(tbl_file[RowId]))</f>
        <v>1</v>
      </c>
    </row>
    <row r="2552" spans="10:18">
      <c r="J2552" s="4">
        <v>2632</v>
      </c>
      <c r="K2552" s="215" t="str">
        <f>HYPERLINK("obsidian://open?vault=o2&amp;file=%F0%9F%92%A1%20AA%20Meeting%20Topics.md","💡 AA Meeting Topics")</f>
        <v>💡 AA Meeting Topics</v>
      </c>
      <c r="L2552" s="20" t="s">
        <v>175</v>
      </c>
      <c r="M2552" s="4"/>
      <c r="N2552" s="2" t="s">
        <v>50</v>
      </c>
      <c r="O2552" s="2"/>
      <c r="P2552" s="4">
        <v>1</v>
      </c>
      <c r="Q2552" s="2" t="s">
        <v>1602</v>
      </c>
      <c r="R2552" s="11">
        <f>SUBTOTAL(3,_xlfn.SINGLE(tbl_file[RowId]))</f>
        <v>1</v>
      </c>
    </row>
    <row r="2553" spans="10:18">
      <c r="J2553" s="4">
        <v>2633</v>
      </c>
      <c r="K2553" s="21" t="str">
        <f>HYPERLINK("obsidian://open?vault=o2&amp;file=%F0%9F%92%A1%20AA%20Meeting%20Topics.md","💡 AA Meeting Topics")</f>
        <v>💡 AA Meeting Topics</v>
      </c>
      <c r="L2553" s="20" t="s">
        <v>175</v>
      </c>
      <c r="M2553" s="4"/>
      <c r="N2553" s="2" t="s">
        <v>2606</v>
      </c>
      <c r="O2553" s="2"/>
      <c r="P2553" s="4">
        <v>1</v>
      </c>
      <c r="Q2553" s="2" t="s">
        <v>1950</v>
      </c>
      <c r="R2553" s="11">
        <f>SUBTOTAL(3,_xlfn.SINGLE(tbl_file[RowId]))</f>
        <v>1</v>
      </c>
    </row>
    <row r="2554" spans="10:18">
      <c r="J2554" s="4">
        <v>2634</v>
      </c>
      <c r="K2554" s="21" t="str">
        <f>HYPERLINK("obsidian://open?vault=o2&amp;file=%F0%9F%92%A1%20AA%20Meeting%20Topics.md","💡 AA Meeting Topics")</f>
        <v>💡 AA Meeting Topics</v>
      </c>
      <c r="L2554" s="20" t="s">
        <v>175</v>
      </c>
      <c r="M2554" s="4"/>
      <c r="N2554" s="2" t="s">
        <v>133</v>
      </c>
      <c r="O2554" s="2" t="s">
        <v>2637</v>
      </c>
      <c r="P2554" s="4">
        <v>1</v>
      </c>
      <c r="Q2554" s="2" t="s">
        <v>2115</v>
      </c>
      <c r="R2554" s="11">
        <f>SUBTOTAL(3,_xlfn.SINGLE(tbl_file[RowId]))</f>
        <v>1</v>
      </c>
    </row>
    <row r="2555" spans="10:18">
      <c r="J2555" s="4">
        <v>147</v>
      </c>
      <c r="K2555" s="21" t="str">
        <f>HYPERLINK("obsidian://open?vault=o2&amp;file=%F0%9F%92%A1%20Color%20Study%20for%20OpenPyXl%20and%20v_chk.md","💡 Color Study for OpenPyXl and v_chk")</f>
        <v>💡 Color Study for OpenPyXl and v_chk</v>
      </c>
      <c r="L2555" s="20" t="s">
        <v>175</v>
      </c>
      <c r="M2555" s="4"/>
      <c r="N2555" s="2" t="s">
        <v>50</v>
      </c>
      <c r="O2555" s="2"/>
      <c r="P2555" s="4">
        <v>2</v>
      </c>
      <c r="Q2555" s="2" t="s">
        <v>2638</v>
      </c>
      <c r="R2555" s="11">
        <f>SUBTOTAL(3,_xlfn.SINGLE(tbl_file[RowId]))</f>
        <v>1</v>
      </c>
    </row>
    <row r="2556" spans="10:18">
      <c r="J2556" s="4">
        <v>148</v>
      </c>
      <c r="K2556" s="21" t="str">
        <f>HYPERLINK("obsidian://open?vault=o2&amp;file=%F0%9F%92%A1%20Color%20Study%20for%20OpenPyXl%20and%20v_chk.md","💡 Color Study for OpenPyXl and v_chk")</f>
        <v>💡 Color Study for OpenPyXl and v_chk</v>
      </c>
      <c r="L2556" s="20" t="s">
        <v>175</v>
      </c>
      <c r="M2556" s="4"/>
      <c r="N2556" s="2" t="s">
        <v>118</v>
      </c>
      <c r="O2556" s="2"/>
      <c r="P2556" s="4">
        <v>1</v>
      </c>
      <c r="Q2556" s="2" t="s">
        <v>1802</v>
      </c>
      <c r="R2556" s="11">
        <f>SUBTOTAL(3,_xlfn.SINGLE(tbl_file[RowId]))</f>
        <v>1</v>
      </c>
    </row>
    <row r="2557" spans="10:18">
      <c r="J2557" s="4">
        <v>149</v>
      </c>
      <c r="K2557" s="21" t="str">
        <f>HYPERLINK("obsidian://open?vault=o2&amp;file=%F0%9F%92%A1%20Color%20Study%20for%20OpenPyXl%20and%20v_chk.md","💡 Color Study for OpenPyXl and v_chk")</f>
        <v>💡 Color Study for OpenPyXl and v_chk</v>
      </c>
      <c r="L2557" s="20" t="s">
        <v>175</v>
      </c>
      <c r="M2557" s="4"/>
      <c r="N2557" s="2" t="s">
        <v>2606</v>
      </c>
      <c r="O2557" s="2"/>
      <c r="P2557" s="4">
        <v>1</v>
      </c>
      <c r="Q2557" s="2" t="s">
        <v>1950</v>
      </c>
      <c r="R2557" s="11">
        <f>SUBTOTAL(3,_xlfn.SINGLE(tbl_file[RowId]))</f>
        <v>1</v>
      </c>
    </row>
    <row r="2558" spans="10:18">
      <c r="J2558" s="4">
        <v>150</v>
      </c>
      <c r="K2558" s="21" t="str">
        <f>HYPERLINK("obsidian://open?vault=o2&amp;file=%F0%9F%92%A1%20Color%20Study%20for%20OpenPyXl%20and%20v_chk.md","💡 Color Study for OpenPyXl and v_chk")</f>
        <v>💡 Color Study for OpenPyXl and v_chk</v>
      </c>
      <c r="L2558" s="20" t="s">
        <v>175</v>
      </c>
      <c r="M2558" s="4"/>
      <c r="N2558" s="2" t="s">
        <v>133</v>
      </c>
      <c r="O2558" s="2" t="s">
        <v>2637</v>
      </c>
      <c r="P2558" s="4">
        <v>1</v>
      </c>
      <c r="Q2558" s="2" t="s">
        <v>2115</v>
      </c>
      <c r="R2558" s="11">
        <f>SUBTOTAL(3,_xlfn.SINGLE(tbl_file[RowId]))</f>
        <v>1</v>
      </c>
    </row>
    <row r="2559" spans="10:18">
      <c r="J2559" s="4">
        <v>2635</v>
      </c>
      <c r="K2559" s="21" t="str">
        <f>HYPERLINK("obsidian://open?vault=o2&amp;file=%F0%9F%92%A1%20Create%20a%20JS%20tool%20to%20do%20scoped%20searches.md","💡 Create a JS tool to do scoped searches")</f>
        <v>💡 Create a JS tool to do scoped searches</v>
      </c>
      <c r="L2559" s="20" t="s">
        <v>175</v>
      </c>
      <c r="M2559" s="4"/>
      <c r="N2559" s="2" t="s">
        <v>50</v>
      </c>
      <c r="O2559" s="2"/>
      <c r="P2559" s="4">
        <v>1</v>
      </c>
      <c r="Q2559" s="2" t="s">
        <v>1602</v>
      </c>
      <c r="R2559" s="11">
        <f>SUBTOTAL(3,_xlfn.SINGLE(tbl_file[RowId]))</f>
        <v>1</v>
      </c>
    </row>
    <row r="2560" spans="10:18">
      <c r="J2560" s="4">
        <v>2636</v>
      </c>
      <c r="K2560" s="21" t="str">
        <f>HYPERLINK("obsidian://open?vault=o2&amp;file=%F0%9F%92%A1%20Create%20a%20JS%20tool%20to%20do%20scoped%20searches.md","💡 Create a JS tool to do scoped searches")</f>
        <v>💡 Create a JS tool to do scoped searches</v>
      </c>
      <c r="L2560" s="20" t="s">
        <v>175</v>
      </c>
      <c r="M2560" s="4"/>
      <c r="N2560" s="2" t="s">
        <v>2606</v>
      </c>
      <c r="O2560" s="2"/>
      <c r="P2560" s="4">
        <v>1</v>
      </c>
      <c r="Q2560" s="2" t="s">
        <v>1950</v>
      </c>
      <c r="R2560" s="11">
        <f>SUBTOTAL(3,_xlfn.SINGLE(tbl_file[RowId]))</f>
        <v>1</v>
      </c>
    </row>
    <row r="2561" spans="10:18">
      <c r="J2561" s="4">
        <v>2637</v>
      </c>
      <c r="K2561" s="21" t="str">
        <f>HYPERLINK("obsidian://open?vault=o2&amp;file=%F0%9F%92%A1%20Create%20a%20JS%20tool%20to%20do%20scoped%20searches.md","💡 Create a JS tool to do scoped searches")</f>
        <v>💡 Create a JS tool to do scoped searches</v>
      </c>
      <c r="L2561" s="20" t="s">
        <v>175</v>
      </c>
      <c r="M2561" s="4"/>
      <c r="N2561" s="2" t="s">
        <v>133</v>
      </c>
      <c r="O2561" s="2" t="s">
        <v>2637</v>
      </c>
      <c r="P2561" s="4">
        <v>1</v>
      </c>
      <c r="Q2561" s="2" t="s">
        <v>2115</v>
      </c>
      <c r="R2561" s="11">
        <f>SUBTOTAL(3,_xlfn.SINGLE(tbl_file[RowId]))</f>
        <v>1</v>
      </c>
    </row>
    <row r="2562" spans="10:18">
      <c r="J2562" s="4">
        <v>2638</v>
      </c>
      <c r="K2562" s="21" t="str">
        <f>HYPERLINK("obsidian://open?vault=o2&amp;file=%F0%9F%92%A1%20Idea%20to%20extend%20v_chk%20Wb%20Engine.md","💡 Idea to extend v_chk Wb Engine")</f>
        <v>💡 Idea to extend v_chk Wb Engine</v>
      </c>
      <c r="L2562" s="20" t="s">
        <v>175</v>
      </c>
      <c r="M2562" s="4"/>
      <c r="N2562" s="2" t="s">
        <v>50</v>
      </c>
      <c r="O2562" s="2"/>
      <c r="P2562" s="4">
        <v>1</v>
      </c>
      <c r="Q2562" s="2" t="s">
        <v>1602</v>
      </c>
      <c r="R2562" s="11">
        <f>SUBTOTAL(3,_xlfn.SINGLE(tbl_file[RowId]))</f>
        <v>1</v>
      </c>
    </row>
    <row r="2563" spans="10:18">
      <c r="J2563" s="4">
        <v>2639</v>
      </c>
      <c r="K2563" s="21" t="str">
        <f>HYPERLINK("obsidian://open?vault=o2&amp;file=%F0%9F%92%A1%20Idea%20to%20extend%20v_chk%20Wb%20Engine.md","💡 Idea to extend v_chk Wb Engine")</f>
        <v>💡 Idea to extend v_chk Wb Engine</v>
      </c>
      <c r="L2563" s="20" t="s">
        <v>175</v>
      </c>
      <c r="M2563" s="4"/>
      <c r="N2563" s="2" t="s">
        <v>2606</v>
      </c>
      <c r="O2563" s="2"/>
      <c r="P2563" s="4">
        <v>4</v>
      </c>
      <c r="Q2563" s="2" t="s">
        <v>3266</v>
      </c>
      <c r="R2563" s="11">
        <f>SUBTOTAL(3,_xlfn.SINGLE(tbl_file[RowId]))</f>
        <v>1</v>
      </c>
    </row>
    <row r="2564" spans="10:18">
      <c r="J2564" s="4">
        <v>2640</v>
      </c>
      <c r="K2564" s="21" t="str">
        <f>HYPERLINK("obsidian://open?vault=o2&amp;file=%F0%9F%92%A1%20Idea%20to%20extend%20v_chk%20Wb%20Engine.md","💡 Idea to extend v_chk Wb Engine")</f>
        <v>💡 Idea to extend v_chk Wb Engine</v>
      </c>
      <c r="L2564" s="20" t="s">
        <v>175</v>
      </c>
      <c r="M2564" s="4"/>
      <c r="N2564" s="2" t="s">
        <v>133</v>
      </c>
      <c r="O2564" s="2" t="s">
        <v>2637</v>
      </c>
      <c r="P2564" s="4">
        <v>1</v>
      </c>
      <c r="Q2564" s="2" t="s">
        <v>2115</v>
      </c>
      <c r="R2564" s="11">
        <f>SUBTOTAL(3,_xlfn.SINGLE(tbl_file[RowId]))</f>
        <v>1</v>
      </c>
    </row>
    <row r="2565" spans="10:18">
      <c r="J2565" s="4">
        <v>2641</v>
      </c>
      <c r="K2565" s="21" t="str">
        <f>HYPERLINK("obsidian://open?vault=o2&amp;file=%F0%9F%92%A1%20My%20Brainstorms.md","💡 My Brainstorms")</f>
        <v>💡 My Brainstorms</v>
      </c>
      <c r="L2565" s="20" t="s">
        <v>175</v>
      </c>
      <c r="M2565" s="4"/>
      <c r="N2565" s="2" t="s">
        <v>50</v>
      </c>
      <c r="O2565" s="2"/>
      <c r="P2565" s="4">
        <v>1</v>
      </c>
      <c r="Q2565" s="2" t="s">
        <v>1582</v>
      </c>
      <c r="R2565" s="11">
        <f>SUBTOTAL(3,_xlfn.SINGLE(tbl_file[RowId]))</f>
        <v>1</v>
      </c>
    </row>
    <row r="2566" spans="10:18">
      <c r="J2566" s="4">
        <v>2642</v>
      </c>
      <c r="K2566" s="21" t="str">
        <f>HYPERLINK("obsidian://open?vault=o2&amp;file=%F0%9F%92%A1%20My%20Brainstorms.md","💡 My Brainstorms")</f>
        <v>💡 My Brainstorms</v>
      </c>
      <c r="L2566" s="20" t="s">
        <v>175</v>
      </c>
      <c r="M2566" s="4"/>
      <c r="N2566" s="2" t="s">
        <v>2606</v>
      </c>
      <c r="O2566" s="2"/>
      <c r="P2566" s="4">
        <v>1</v>
      </c>
      <c r="Q2566" s="2" t="s">
        <v>2575</v>
      </c>
      <c r="R2566" s="11">
        <f>SUBTOTAL(3,_xlfn.SINGLE(tbl_file[RowId]))</f>
        <v>1</v>
      </c>
    </row>
    <row r="2567" spans="10:18">
      <c r="J2567" s="4">
        <v>2643</v>
      </c>
      <c r="K2567" s="21" t="str">
        <f>HYPERLINK("obsidian://open?vault=o2&amp;file=%F0%9F%92%A1%20New%20Obsidian%20Video.md","💡 New Obsidian Video")</f>
        <v>💡 New Obsidian Video</v>
      </c>
      <c r="L2567" s="20" t="s">
        <v>175</v>
      </c>
      <c r="M2567" s="4"/>
      <c r="N2567" s="2" t="s">
        <v>50</v>
      </c>
      <c r="O2567" s="2"/>
      <c r="P2567" s="4">
        <v>1</v>
      </c>
      <c r="Q2567" s="2" t="s">
        <v>1604</v>
      </c>
      <c r="R2567" s="11">
        <f>SUBTOTAL(3,_xlfn.SINGLE(tbl_file[RowId]))</f>
        <v>1</v>
      </c>
    </row>
    <row r="2568" spans="10:18">
      <c r="J2568" s="4">
        <v>2644</v>
      </c>
      <c r="K2568" s="21" t="str">
        <f>HYPERLINK("obsidian://open?vault=o2&amp;file=%F0%9F%92%A1%20New%20Obsidian%20Video.md","💡 New Obsidian Video")</f>
        <v>💡 New Obsidian Video</v>
      </c>
      <c r="L2568" s="20" t="s">
        <v>175</v>
      </c>
      <c r="M2568" s="4"/>
      <c r="N2568" s="2" t="s">
        <v>2606</v>
      </c>
      <c r="O2568" s="2"/>
      <c r="P2568" s="4">
        <v>1</v>
      </c>
      <c r="Q2568" s="2" t="s">
        <v>1948</v>
      </c>
      <c r="R2568" s="11">
        <f>SUBTOTAL(3,_xlfn.SINGLE(tbl_file[RowId]))</f>
        <v>1</v>
      </c>
    </row>
    <row r="2569" spans="10:18">
      <c r="J2569" s="4">
        <v>1325</v>
      </c>
      <c r="K2569" s="21" t="str">
        <f>HYPERLINK("obsidian://open?vault=o2&amp;file=%F0%9F%92%A1%20Poetry%20Ideas.md","💡 Poetry Ideas")</f>
        <v>💡 Poetry Ideas</v>
      </c>
      <c r="L2569" s="20" t="s">
        <v>175</v>
      </c>
      <c r="M2569" s="4"/>
      <c r="N2569" s="2" t="s">
        <v>50</v>
      </c>
      <c r="O2569" s="2"/>
      <c r="P2569" s="4">
        <v>1</v>
      </c>
      <c r="Q2569" s="2" t="s">
        <v>1602</v>
      </c>
      <c r="R2569" s="11">
        <f>SUBTOTAL(3,_xlfn.SINGLE(tbl_file[RowId]))</f>
        <v>1</v>
      </c>
    </row>
    <row r="2570" spans="10:18">
      <c r="J2570" s="4">
        <v>1326</v>
      </c>
      <c r="K2570" s="21" t="str">
        <f>HYPERLINK("obsidian://open?vault=o2&amp;file=%F0%9F%92%A1%20Poetry%20Ideas.md","💡 Poetry Ideas")</f>
        <v>💡 Poetry Ideas</v>
      </c>
      <c r="L2570" s="20" t="s">
        <v>175</v>
      </c>
      <c r="M2570" s="4"/>
      <c r="N2570" s="2" t="s">
        <v>123</v>
      </c>
      <c r="O2570" s="2" t="s">
        <v>2635</v>
      </c>
      <c r="P2570" s="4">
        <v>1</v>
      </c>
      <c r="Q2570" s="2" t="s">
        <v>1578</v>
      </c>
      <c r="R2570" s="11">
        <f>SUBTOTAL(3,_xlfn.SINGLE(tbl_file[RowId]))</f>
        <v>1</v>
      </c>
    </row>
    <row r="2571" spans="10:18">
      <c r="J2571" s="4">
        <v>1327</v>
      </c>
      <c r="K2571" s="21" t="str">
        <f>HYPERLINK("obsidian://open?vault=o2&amp;file=%F0%9F%92%A1%20Poetry%20Ideas.md","💡 Poetry Ideas")</f>
        <v>💡 Poetry Ideas</v>
      </c>
      <c r="L2571" s="20" t="s">
        <v>175</v>
      </c>
      <c r="M2571" s="4"/>
      <c r="N2571" s="2" t="s">
        <v>2606</v>
      </c>
      <c r="O2571" s="2"/>
      <c r="P2571" s="4">
        <v>1</v>
      </c>
      <c r="Q2571" s="2" t="s">
        <v>1950</v>
      </c>
      <c r="R2571" s="11">
        <f>SUBTOTAL(3,_xlfn.SINGLE(tbl_file[RowId]))</f>
        <v>1</v>
      </c>
    </row>
    <row r="2572" spans="10:18">
      <c r="J2572" s="4">
        <v>1328</v>
      </c>
      <c r="K2572" s="21" t="str">
        <f>HYPERLINK("obsidian://open?vault=o2&amp;file=%F0%9F%92%A1%20Poetry%20Ideas.md","💡 Poetry Ideas")</f>
        <v>💡 Poetry Ideas</v>
      </c>
      <c r="L2572" s="20" t="s">
        <v>175</v>
      </c>
      <c r="M2572" s="4"/>
      <c r="N2572" s="2" t="s">
        <v>133</v>
      </c>
      <c r="O2572" s="2" t="s">
        <v>2637</v>
      </c>
      <c r="P2572" s="4">
        <v>1</v>
      </c>
      <c r="Q2572" s="2" t="s">
        <v>2115</v>
      </c>
      <c r="R2572" s="11">
        <f>SUBTOTAL(3,_xlfn.SINGLE(tbl_file[RowId]))</f>
        <v>1</v>
      </c>
    </row>
    <row r="2573" spans="10:18">
      <c r="J2573" s="4">
        <v>2645</v>
      </c>
      <c r="K2573" s="21" t="str">
        <f>HYPERLINK("obsidian://open?vault=o2&amp;file=%F0%9F%92%A1%20Rebirth%20CWS.md","💡 Rebirth CWS")</f>
        <v>💡 Rebirth CWS</v>
      </c>
      <c r="L2573" s="20" t="s">
        <v>175</v>
      </c>
      <c r="M2573" s="4"/>
      <c r="N2573" s="2" t="s">
        <v>12</v>
      </c>
      <c r="O2573" s="2"/>
      <c r="P2573" s="4">
        <v>1</v>
      </c>
      <c r="Q2573" s="2" t="s">
        <v>264</v>
      </c>
      <c r="R2573" s="11">
        <f>SUBTOTAL(3,_xlfn.SINGLE(tbl_file[RowId]))</f>
        <v>1</v>
      </c>
    </row>
    <row r="2574" spans="10:18">
      <c r="J2574" s="4">
        <v>2646</v>
      </c>
      <c r="K2574" s="21" t="str">
        <f>HYPERLINK("obsidian://open?vault=o2&amp;file=%F0%9F%92%A1%20Rebirth%20CWS.md","💡 Rebirth CWS")</f>
        <v>💡 Rebirth CWS</v>
      </c>
      <c r="L2574" s="20" t="s">
        <v>175</v>
      </c>
      <c r="M2574" s="4"/>
      <c r="N2574" s="2" t="s">
        <v>50</v>
      </c>
      <c r="O2574" s="2"/>
      <c r="P2574" s="4">
        <v>1</v>
      </c>
      <c r="Q2574" s="2" t="s">
        <v>1604</v>
      </c>
      <c r="R2574" s="11">
        <f>SUBTOTAL(3,_xlfn.SINGLE(tbl_file[RowId]))</f>
        <v>1</v>
      </c>
    </row>
    <row r="2575" spans="10:18">
      <c r="J2575" s="4">
        <v>2647</v>
      </c>
      <c r="K2575" s="21" t="str">
        <f>HYPERLINK("obsidian://open?vault=o2&amp;file=%F0%9F%92%A1%20Rebirth%20CWS.md","💡 Rebirth CWS")</f>
        <v>💡 Rebirth CWS</v>
      </c>
      <c r="L2575" s="20" t="s">
        <v>175</v>
      </c>
      <c r="M2575" s="4"/>
      <c r="N2575" s="2" t="s">
        <v>118</v>
      </c>
      <c r="O2575" s="2"/>
      <c r="P2575" s="4">
        <v>1</v>
      </c>
      <c r="Q2575" s="2" t="s">
        <v>1811</v>
      </c>
      <c r="R2575" s="11">
        <f>SUBTOTAL(3,_xlfn.SINGLE(tbl_file[RowId]))</f>
        <v>1</v>
      </c>
    </row>
    <row r="2576" spans="10:18">
      <c r="J2576" s="4">
        <v>2648</v>
      </c>
      <c r="K2576" s="21" t="str">
        <f>HYPERLINK("obsidian://open?vault=o2&amp;file=%F0%9F%92%A1%20Rebirth%20CWS.md","💡 Rebirth CWS")</f>
        <v>💡 Rebirth CWS</v>
      </c>
      <c r="L2576" s="20" t="s">
        <v>175</v>
      </c>
      <c r="M2576" s="4"/>
      <c r="N2576" s="2" t="s">
        <v>127</v>
      </c>
      <c r="O2576" s="2"/>
      <c r="P2576" s="4">
        <v>1</v>
      </c>
      <c r="Q2576" s="2" t="s">
        <v>1948</v>
      </c>
      <c r="R2576" s="11">
        <f>SUBTOTAL(3,_xlfn.SINGLE(tbl_file[RowId]))</f>
        <v>1</v>
      </c>
    </row>
    <row r="2577" spans="10:18">
      <c r="J2577" s="4">
        <v>2649</v>
      </c>
      <c r="K2577" s="21" t="str">
        <f>HYPERLINK("obsidian://open?vault=o2&amp;file=%F0%9F%92%A1%20Rebirth%20CWS.md","💡 Rebirth CWS")</f>
        <v>💡 Rebirth CWS</v>
      </c>
      <c r="L2577" s="20" t="s">
        <v>175</v>
      </c>
      <c r="M2577" s="4"/>
      <c r="N2577" s="2" t="s">
        <v>2606</v>
      </c>
      <c r="O2577" s="2"/>
      <c r="P2577" s="4">
        <v>1</v>
      </c>
      <c r="Q2577" s="2" t="s">
        <v>2570</v>
      </c>
      <c r="R2577" s="11">
        <f>SUBTOTAL(3,_xlfn.SINGLE(tbl_file[RowId]))</f>
        <v>1</v>
      </c>
    </row>
    <row r="2578" spans="10:18">
      <c r="J2578" s="4">
        <v>2653</v>
      </c>
      <c r="K2578" s="21" t="str">
        <f>HYPERLINK("obsidian://open?vault=o2&amp;file=%F0%9F%92%A1%20test9.md","💡 test9")</f>
        <v>💡 test9</v>
      </c>
      <c r="L2578" s="20" t="s">
        <v>175</v>
      </c>
      <c r="M2578" s="4"/>
      <c r="N2578" s="2" t="s">
        <v>50</v>
      </c>
      <c r="O2578" s="2"/>
      <c r="P2578" s="4">
        <v>1</v>
      </c>
      <c r="Q2578" s="2" t="s">
        <v>1604</v>
      </c>
      <c r="R2578" s="11">
        <f>SUBTOTAL(3,_xlfn.SINGLE(tbl_file[RowId]))</f>
        <v>1</v>
      </c>
    </row>
    <row r="2579" spans="10:18">
      <c r="J2579" s="4">
        <v>2654</v>
      </c>
      <c r="K2579" s="21" t="str">
        <f>HYPERLINK("obsidian://open?vault=o2&amp;file=%F0%9F%92%A1%20test9.md","💡 test9")</f>
        <v>💡 test9</v>
      </c>
      <c r="L2579" s="20" t="s">
        <v>175</v>
      </c>
      <c r="M2579" s="4"/>
      <c r="N2579" s="2" t="s">
        <v>127</v>
      </c>
      <c r="O2579" s="2"/>
      <c r="P2579" s="4">
        <v>1</v>
      </c>
      <c r="Q2579" s="2" t="s">
        <v>1950</v>
      </c>
      <c r="R2579" s="11">
        <f>SUBTOTAL(3,_xlfn.SINGLE(tbl_file[RowId]))</f>
        <v>1</v>
      </c>
    </row>
    <row r="2580" spans="10:18">
      <c r="J2580" s="4">
        <v>2655</v>
      </c>
      <c r="K2580" s="21" t="str">
        <f>HYPERLINK("obsidian://open?vault=o2&amp;file=%F0%9F%92%A1%20test9.md","💡 test9")</f>
        <v>💡 test9</v>
      </c>
      <c r="L2580" s="20" t="s">
        <v>175</v>
      </c>
      <c r="M2580" s="4"/>
      <c r="N2580" s="2" t="s">
        <v>133</v>
      </c>
      <c r="O2580" s="2"/>
      <c r="P2580" s="4">
        <v>1</v>
      </c>
      <c r="Q2580" s="2" t="s">
        <v>2117</v>
      </c>
      <c r="R2580" s="11">
        <f>SUBTOTAL(3,_xlfn.SINGLE(tbl_file[RowId]))</f>
        <v>1</v>
      </c>
    </row>
    <row r="2581" spans="10:18">
      <c r="J2581" s="4">
        <v>2650</v>
      </c>
      <c r="K2581" s="21" t="str">
        <f>HYPERLINK("obsidian://open?vault=o2&amp;file=%F0%9F%92%A1%20Youtube%20and%20long%20title%20note%20automation.md","💡 Youtube and long title note automation")</f>
        <v>💡 Youtube and long title note automation</v>
      </c>
      <c r="L2581" s="20" t="s">
        <v>175</v>
      </c>
      <c r="M2581" s="4"/>
      <c r="N2581" s="2" t="s">
        <v>50</v>
      </c>
      <c r="O2581" s="2"/>
      <c r="P2581" s="4">
        <v>1</v>
      </c>
      <c r="Q2581" s="2" t="s">
        <v>1604</v>
      </c>
      <c r="R2581" s="11">
        <f>SUBTOTAL(3,_xlfn.SINGLE(tbl_file[RowId]))</f>
        <v>1</v>
      </c>
    </row>
    <row r="2582" spans="10:18">
      <c r="J2582" s="4">
        <v>2651</v>
      </c>
      <c r="K2582" s="21" t="str">
        <f>HYPERLINK("obsidian://open?vault=o2&amp;file=%F0%9F%92%A1%20Youtube%20and%20long%20title%20note%20automation.md","💡 Youtube and long title note automation")</f>
        <v>💡 Youtube and long title note automation</v>
      </c>
      <c r="L2582" s="20" t="s">
        <v>175</v>
      </c>
      <c r="M2582" s="4"/>
      <c r="N2582" s="2" t="s">
        <v>121</v>
      </c>
      <c r="O2582" s="2"/>
      <c r="P2582" s="4">
        <v>1</v>
      </c>
      <c r="Q2582" s="2" t="s">
        <v>1844</v>
      </c>
      <c r="R2582" s="11">
        <f>SUBTOTAL(3,_xlfn.SINGLE(tbl_file[RowId]))</f>
        <v>1</v>
      </c>
    </row>
    <row r="2583" spans="10:18">
      <c r="J2583" s="4">
        <v>2652</v>
      </c>
      <c r="K2583" s="21" t="str">
        <f>HYPERLINK("obsidian://open?vault=o2&amp;file=%F0%9F%92%A1%20Youtube%20and%20long%20title%20note%20automation.md","💡 Youtube and long title note automation")</f>
        <v>💡 Youtube and long title note automation</v>
      </c>
      <c r="L2583" s="20" t="s">
        <v>175</v>
      </c>
      <c r="M2583" s="4"/>
      <c r="N2583" s="2" t="s">
        <v>2606</v>
      </c>
      <c r="O2583" s="2"/>
      <c r="P2583" s="4">
        <v>1</v>
      </c>
      <c r="Q2583" s="2" t="s">
        <v>1952</v>
      </c>
      <c r="R2583" s="11">
        <f>SUBTOTAL(3,_xlfn.SINGLE(tbl_file[RowId]))</f>
        <v>1</v>
      </c>
    </row>
    <row r="2584" spans="10:18">
      <c r="J2584" s="4">
        <v>2656</v>
      </c>
      <c r="K2584" s="21" t="str">
        <f>HYPERLINK("obsidian://open?vault=o2&amp;file=%F0%9F%92%AD%20My%20Thoughts.md","💭 My Thoughts")</f>
        <v>💭 My Thoughts</v>
      </c>
      <c r="L2584" s="20" t="s">
        <v>175</v>
      </c>
      <c r="M2584" s="4"/>
      <c r="N2584" s="2" t="s">
        <v>50</v>
      </c>
      <c r="O2584" s="2"/>
      <c r="P2584" s="4">
        <v>1</v>
      </c>
      <c r="Q2584" s="2" t="s">
        <v>1606</v>
      </c>
      <c r="R2584" s="11">
        <f>SUBTOTAL(3,_xlfn.SINGLE(tbl_file[RowId]))</f>
        <v>1</v>
      </c>
    </row>
    <row r="2585" spans="10:18">
      <c r="J2585" s="4">
        <v>2657</v>
      </c>
      <c r="K2585" s="21" t="str">
        <f>HYPERLINK("obsidian://open?vault=o2&amp;file=%F0%9F%92%AD%20My%20Thoughts.md","💭 My Thoughts")</f>
        <v>💭 My Thoughts</v>
      </c>
      <c r="L2585" s="20" t="s">
        <v>175</v>
      </c>
      <c r="M2585" s="4"/>
      <c r="N2585" s="2" t="s">
        <v>2606</v>
      </c>
      <c r="O2585" s="2"/>
      <c r="P2585" s="4">
        <v>1</v>
      </c>
      <c r="Q2585" s="2" t="s">
        <v>2575</v>
      </c>
      <c r="R2585" s="11">
        <f>SUBTOTAL(3,_xlfn.SINGLE(tbl_file[RowId]))</f>
        <v>1</v>
      </c>
    </row>
    <row r="2586" spans="10:18">
      <c r="J2586" s="4">
        <v>2658</v>
      </c>
      <c r="K2586" s="21" t="str">
        <f>HYPERLINK("obsidian://open?vault=o2&amp;file=%F0%9F%92%AD%20There%20is%20too%20much%20content%20to%20consume.md","💭 There is too much content to consume")</f>
        <v>💭 There is too much content to consume</v>
      </c>
      <c r="L2586" s="20" t="s">
        <v>175</v>
      </c>
      <c r="M2586" s="4"/>
      <c r="N2586" s="2" t="s">
        <v>50</v>
      </c>
      <c r="O2586" s="2"/>
      <c r="P2586" s="4">
        <v>1</v>
      </c>
      <c r="Q2586" s="2" t="s">
        <v>1608</v>
      </c>
      <c r="R2586" s="11">
        <f>SUBTOTAL(3,_xlfn.SINGLE(tbl_file[RowId]))</f>
        <v>1</v>
      </c>
    </row>
    <row r="2587" spans="10:18">
      <c r="J2587" s="4">
        <v>2659</v>
      </c>
      <c r="K2587" s="21" t="str">
        <f>HYPERLINK("obsidian://open?vault=o2&amp;file=%F0%9F%92%AD%20There%20is%20too%20much%20content%20to%20consume.md","💭 There is too much content to consume")</f>
        <v>💭 There is too much content to consume</v>
      </c>
      <c r="L2587" s="20" t="s">
        <v>175</v>
      </c>
      <c r="M2587" s="4"/>
      <c r="N2587" s="2" t="s">
        <v>127</v>
      </c>
      <c r="O2587" s="2"/>
      <c r="P2587" s="4">
        <v>1</v>
      </c>
      <c r="Q2587" s="2" t="s">
        <v>1936</v>
      </c>
      <c r="R2587" s="11">
        <f>SUBTOTAL(3,_xlfn.SINGLE(tbl_file[RowId]))</f>
        <v>1</v>
      </c>
    </row>
    <row r="2588" spans="10:18">
      <c r="J2588" s="4">
        <v>2660</v>
      </c>
      <c r="K2588" s="21" t="str">
        <f>HYPERLINK("obsidian://open?vault=o2&amp;file=%F0%9F%93%81%20My%20Archives.md","📁 My Archives")</f>
        <v>📁 My Archives</v>
      </c>
      <c r="L2588" s="20" t="s">
        <v>175</v>
      </c>
      <c r="M2588" s="4"/>
      <c r="N2588" s="2" t="s">
        <v>50</v>
      </c>
      <c r="O2588" s="2"/>
      <c r="P2588" s="4">
        <v>1</v>
      </c>
      <c r="Q2588" s="2" t="s">
        <v>1582</v>
      </c>
      <c r="R2588" s="11">
        <f>SUBTOTAL(3,_xlfn.SINGLE(tbl_file[RowId]))</f>
        <v>1</v>
      </c>
    </row>
    <row r="2589" spans="10:18">
      <c r="J2589" s="4">
        <v>2661</v>
      </c>
      <c r="K2589" s="21" t="str">
        <f>HYPERLINK("obsidian://open?vault=o2&amp;file=%F0%9F%93%86%20My%20Periodic%20Reviews.md","📆 My Periodic Reviews")</f>
        <v>📆 My Periodic Reviews</v>
      </c>
      <c r="L2589" s="20" t="s">
        <v>175</v>
      </c>
      <c r="M2589" s="4"/>
      <c r="N2589" s="2" t="s">
        <v>50</v>
      </c>
      <c r="O2589" s="2"/>
      <c r="P2589" s="4">
        <v>1</v>
      </c>
      <c r="Q2589" s="2" t="s">
        <v>1582</v>
      </c>
      <c r="R2589" s="11">
        <f>SUBTOTAL(3,_xlfn.SINGLE(tbl_file[RowId]))</f>
        <v>1</v>
      </c>
    </row>
    <row r="2590" spans="10:18">
      <c r="J2590" s="4">
        <v>2662</v>
      </c>
      <c r="K2590" s="21" t="str">
        <f>HYPERLINK("obsidian://open?vault=o2&amp;file=%F0%9F%93%86%20My%20Periodic%20Reviews.md","📆 My Periodic Reviews")</f>
        <v>📆 My Periodic Reviews</v>
      </c>
      <c r="L2590" s="20" t="s">
        <v>175</v>
      </c>
      <c r="M2590" s="4"/>
      <c r="N2590" s="2" t="s">
        <v>2606</v>
      </c>
      <c r="O2590" s="2"/>
      <c r="P2590" s="4">
        <v>1</v>
      </c>
      <c r="Q2590" s="2" t="s">
        <v>2575</v>
      </c>
      <c r="R2590" s="11">
        <f>SUBTOTAL(3,_xlfn.SINGLE(tbl_file[RowId]))</f>
        <v>1</v>
      </c>
    </row>
    <row r="2591" spans="10:18">
      <c r="J2591" s="4">
        <v>93</v>
      </c>
      <c r="K2591" s="21" t="str">
        <f>HYPERLINK("obsidian://open?vault=o2&amp;file=%F0%9F%93%8C%20CasaOS%20Kanban.md","📌 CasaOS Kanban")</f>
        <v>📌 CasaOS Kanban</v>
      </c>
      <c r="L2591" s="20" t="s">
        <v>175</v>
      </c>
      <c r="M2591" s="4"/>
      <c r="N2591" s="2" t="s">
        <v>47</v>
      </c>
      <c r="O2591" s="2"/>
      <c r="P2591" s="4">
        <v>1</v>
      </c>
      <c r="Q2591" s="2" t="s">
        <v>671</v>
      </c>
      <c r="R2591" s="11">
        <f>SUBTOTAL(3,_xlfn.SINGLE(tbl_file[RowId]))</f>
        <v>1</v>
      </c>
    </row>
    <row r="2592" spans="10:18">
      <c r="J2592" s="4">
        <v>94</v>
      </c>
      <c r="K2592" s="21" t="str">
        <f>HYPERLINK("obsidian://open?vault=o2&amp;file=%F0%9F%93%8C%20CasaOS%20Kanban.md","📌 CasaOS Kanban")</f>
        <v>📌 CasaOS Kanban</v>
      </c>
      <c r="L2592" s="20" t="s">
        <v>175</v>
      </c>
      <c r="M2592" s="4"/>
      <c r="N2592" s="2" t="s">
        <v>2606</v>
      </c>
      <c r="O2592" s="2"/>
      <c r="P2592" s="4">
        <v>2</v>
      </c>
      <c r="Q2592" s="2" t="s">
        <v>2628</v>
      </c>
      <c r="R2592" s="11">
        <f>SUBTOTAL(3,_xlfn.SINGLE(tbl_file[RowId]))</f>
        <v>1</v>
      </c>
    </row>
    <row r="2593" spans="10:18">
      <c r="J2593" s="4">
        <v>2663</v>
      </c>
      <c r="K2593" s="21" t="str">
        <f>HYPERLINK("obsidian://open?vault=o2&amp;file=%F0%9F%93%8C%20Cheatsheet%20Library%20Kanban.md","📌 Cheatsheet Library Kanban")</f>
        <v>📌 Cheatsheet Library Kanban</v>
      </c>
      <c r="L2593" s="20" t="s">
        <v>175</v>
      </c>
      <c r="M2593" s="4"/>
      <c r="N2593" s="2" t="s">
        <v>47</v>
      </c>
      <c r="O2593" s="2"/>
      <c r="P2593" s="4">
        <v>1</v>
      </c>
      <c r="Q2593" s="2" t="s">
        <v>669</v>
      </c>
      <c r="R2593" s="11">
        <f>SUBTOTAL(3,_xlfn.SINGLE(tbl_file[RowId]))</f>
        <v>1</v>
      </c>
    </row>
    <row r="2594" spans="10:18">
      <c r="J2594" s="4">
        <v>2664</v>
      </c>
      <c r="K2594" s="21" t="str">
        <f>HYPERLINK("obsidian://open?vault=o2&amp;file=%F0%9F%93%8C%20Cheatsheet%20Library%20Kanban.md","📌 Cheatsheet Library Kanban")</f>
        <v>📌 Cheatsheet Library Kanban</v>
      </c>
      <c r="L2594" s="20" t="s">
        <v>175</v>
      </c>
      <c r="M2594" s="4"/>
      <c r="N2594" s="2" t="s">
        <v>123</v>
      </c>
      <c r="O2594" s="2"/>
      <c r="P2594" s="4">
        <v>1</v>
      </c>
      <c r="Q2594" s="2" t="s">
        <v>1492</v>
      </c>
      <c r="R2594" s="11">
        <f>SUBTOTAL(3,_xlfn.SINGLE(tbl_file[RowId]))</f>
        <v>1</v>
      </c>
    </row>
    <row r="2595" spans="10:18">
      <c r="J2595" s="4">
        <v>2665</v>
      </c>
      <c r="K2595" s="21" t="str">
        <f>HYPERLINK("obsidian://open?vault=o2&amp;file=%F0%9F%93%8C%20Cheatsheet%20Library%20Kanban.md","📌 Cheatsheet Library Kanban")</f>
        <v>📌 Cheatsheet Library Kanban</v>
      </c>
      <c r="L2595" s="20" t="s">
        <v>175</v>
      </c>
      <c r="M2595" s="4"/>
      <c r="N2595" s="2" t="s">
        <v>2606</v>
      </c>
      <c r="O2595" s="2"/>
      <c r="P2595" s="4">
        <v>1</v>
      </c>
      <c r="Q2595" s="2" t="s">
        <v>2387</v>
      </c>
      <c r="R2595" s="11">
        <f>SUBTOTAL(3,_xlfn.SINGLE(tbl_file[RowId]))</f>
        <v>1</v>
      </c>
    </row>
    <row r="2596" spans="10:18">
      <c r="J2596" s="4">
        <v>2666</v>
      </c>
      <c r="K2596" s="21" t="str">
        <f>HYPERLINK("obsidian://open?vault=o2&amp;file=%F0%9F%93%8C%20Cheatsheet%20Library%20Kanban.md","📌 Cheatsheet Library Kanban")</f>
        <v>📌 Cheatsheet Library Kanban</v>
      </c>
      <c r="L2596" s="20" t="s">
        <v>175</v>
      </c>
      <c r="M2596" s="4"/>
      <c r="N2596" s="2" t="s">
        <v>133</v>
      </c>
      <c r="O2596" s="2"/>
      <c r="P2596" s="4">
        <v>1</v>
      </c>
      <c r="Q2596" s="2" t="s">
        <v>2113</v>
      </c>
      <c r="R2596" s="11">
        <f>SUBTOTAL(3,_xlfn.SINGLE(tbl_file[RowId]))</f>
        <v>1</v>
      </c>
    </row>
    <row r="2597" spans="10:18">
      <c r="J2597" s="4">
        <v>2667</v>
      </c>
      <c r="K2597" s="21" t="str">
        <f>HYPERLINK("obsidian://open?vault=o2&amp;file=%F0%9F%93%8C%20Cheatsheet%20Library%20Kanban.md","📌 Cheatsheet Library Kanban")</f>
        <v>📌 Cheatsheet Library Kanban</v>
      </c>
      <c r="L2597" s="20" t="s">
        <v>175</v>
      </c>
      <c r="M2597" s="4"/>
      <c r="N2597" s="2" t="s">
        <v>135</v>
      </c>
      <c r="O2597" s="2"/>
      <c r="P2597" s="4">
        <v>1</v>
      </c>
      <c r="Q2597" s="2" t="s">
        <v>1494</v>
      </c>
      <c r="R2597" s="11">
        <f>SUBTOTAL(3,_xlfn.SINGLE(tbl_file[RowId]))</f>
        <v>1</v>
      </c>
    </row>
    <row r="2598" spans="10:18">
      <c r="J2598" s="4">
        <v>266</v>
      </c>
      <c r="K2598" s="21" t="str">
        <f>HYPERLINK("obsidian://open?vault=o2&amp;file=%F0%9F%93%8C%20Create%20a%20new%20kind%20of%20note.md","📌 Create a new kind of note")</f>
        <v>📌 Create a new kind of note</v>
      </c>
      <c r="L2598" s="20" t="s">
        <v>175</v>
      </c>
      <c r="M2598" s="4"/>
      <c r="N2598" s="2" t="s">
        <v>47</v>
      </c>
      <c r="O2598" s="2"/>
      <c r="P2598" s="4">
        <v>1</v>
      </c>
      <c r="Q2598" s="2" t="s">
        <v>669</v>
      </c>
      <c r="R2598" s="11">
        <f>SUBTOTAL(3,_xlfn.SINGLE(tbl_file[RowId]))</f>
        <v>1</v>
      </c>
    </row>
    <row r="2599" spans="10:18">
      <c r="J2599" s="4">
        <v>267</v>
      </c>
      <c r="K2599" s="21" t="str">
        <f>HYPERLINK("obsidian://open?vault=o2&amp;file=%F0%9F%93%8C%20Create%20a%20new%20kind%20of%20note.md","📌 Create a new kind of note")</f>
        <v>📌 Create a new kind of note</v>
      </c>
      <c r="L2599" s="20" t="s">
        <v>175</v>
      </c>
      <c r="M2599" s="4"/>
      <c r="N2599" s="2" t="s">
        <v>123</v>
      </c>
      <c r="O2599" s="2"/>
      <c r="P2599" s="4">
        <v>1</v>
      </c>
      <c r="Q2599" s="2" t="s">
        <v>1492</v>
      </c>
      <c r="R2599" s="11">
        <f>SUBTOTAL(3,_xlfn.SINGLE(tbl_file[RowId]))</f>
        <v>1</v>
      </c>
    </row>
    <row r="2600" spans="10:18">
      <c r="J2600" s="4">
        <v>268</v>
      </c>
      <c r="K2600" s="21" t="str">
        <f>HYPERLINK("obsidian://open?vault=o2&amp;file=%F0%9F%93%8C%20Create%20a%20new%20kind%20of%20note.md","📌 Create a new kind of note")</f>
        <v>📌 Create a new kind of note</v>
      </c>
      <c r="L2600" s="20" t="s">
        <v>175</v>
      </c>
      <c r="M2600" s="4"/>
      <c r="N2600" s="2" t="s">
        <v>2606</v>
      </c>
      <c r="O2600" s="2"/>
      <c r="P2600" s="4">
        <v>1</v>
      </c>
      <c r="Q2600" s="2" t="s">
        <v>2387</v>
      </c>
      <c r="R2600" s="11">
        <f>SUBTOTAL(3,_xlfn.SINGLE(tbl_file[RowId]))</f>
        <v>1</v>
      </c>
    </row>
    <row r="2601" spans="10:18">
      <c r="J2601" s="4">
        <v>269</v>
      </c>
      <c r="K2601" s="21" t="str">
        <f>HYPERLINK("obsidian://open?vault=o2&amp;file=%F0%9F%93%8C%20Create%20a%20new%20kind%20of%20note.md","📌 Create a new kind of note")</f>
        <v>📌 Create a new kind of note</v>
      </c>
      <c r="L2601" s="20" t="s">
        <v>175</v>
      </c>
      <c r="M2601" s="4"/>
      <c r="N2601" s="2" t="s">
        <v>133</v>
      </c>
      <c r="O2601" s="2"/>
      <c r="P2601" s="4">
        <v>1</v>
      </c>
      <c r="Q2601" s="2" t="s">
        <v>2113</v>
      </c>
      <c r="R2601" s="11">
        <f>SUBTOTAL(3,_xlfn.SINGLE(tbl_file[RowId]))</f>
        <v>1</v>
      </c>
    </row>
    <row r="2602" spans="10:18">
      <c r="J2602" s="4">
        <v>270</v>
      </c>
      <c r="K2602" s="21" t="str">
        <f>HYPERLINK("obsidian://open?vault=o2&amp;file=%F0%9F%93%8C%20Create%20a%20new%20kind%20of%20note.md","📌 Create a new kind of note")</f>
        <v>📌 Create a new kind of note</v>
      </c>
      <c r="L2602" s="20" t="s">
        <v>175</v>
      </c>
      <c r="M2602" s="4"/>
      <c r="N2602" s="2" t="s">
        <v>135</v>
      </c>
      <c r="O2602" s="2"/>
      <c r="P2602" s="4">
        <v>1</v>
      </c>
      <c r="Q2602" s="2" t="s">
        <v>1494</v>
      </c>
      <c r="R2602" s="11">
        <f>SUBTOTAL(3,_xlfn.SINGLE(tbl_file[RowId]))</f>
        <v>1</v>
      </c>
    </row>
    <row r="2603" spans="10:18">
      <c r="J2603" s="4">
        <v>2668</v>
      </c>
      <c r="K2603" s="21" t="str">
        <f t="shared" ref="K2603:K2608" si="103">HYPERLINK("obsidian://open?vault=o2&amp;file=%F0%9F%93%8C%20Debug%20metaCatchall.md","📌 Debug metaCatchall")</f>
        <v>📌 Debug metaCatchall</v>
      </c>
      <c r="L2603" s="20" t="s">
        <v>175</v>
      </c>
      <c r="M2603" s="4"/>
      <c r="N2603" s="2" t="s">
        <v>47</v>
      </c>
      <c r="O2603" s="2"/>
      <c r="P2603" s="4">
        <v>1</v>
      </c>
      <c r="Q2603" s="2" t="s">
        <v>669</v>
      </c>
      <c r="R2603" s="11">
        <f>SUBTOTAL(3,_xlfn.SINGLE(tbl_file[RowId]))</f>
        <v>1</v>
      </c>
    </row>
    <row r="2604" spans="10:18">
      <c r="J2604" s="4">
        <v>2669</v>
      </c>
      <c r="K2604" s="21" t="str">
        <f t="shared" si="103"/>
        <v>📌 Debug metaCatchall</v>
      </c>
      <c r="L2604" s="20" t="s">
        <v>175</v>
      </c>
      <c r="M2604" s="4"/>
      <c r="N2604" s="2" t="s">
        <v>123</v>
      </c>
      <c r="O2604" s="2"/>
      <c r="P2604" s="4">
        <v>1</v>
      </c>
      <c r="Q2604" s="2" t="s">
        <v>1492</v>
      </c>
      <c r="R2604" s="11">
        <f>SUBTOTAL(3,_xlfn.SINGLE(tbl_file[RowId]))</f>
        <v>1</v>
      </c>
    </row>
    <row r="2605" spans="10:18">
      <c r="J2605" s="4">
        <v>2670</v>
      </c>
      <c r="K2605" s="21" t="str">
        <f t="shared" si="103"/>
        <v>📌 Debug metaCatchall</v>
      </c>
      <c r="L2605" s="20" t="s">
        <v>175</v>
      </c>
      <c r="M2605" s="4"/>
      <c r="N2605" s="2" t="s">
        <v>2606</v>
      </c>
      <c r="O2605" s="2"/>
      <c r="P2605" s="4">
        <v>1</v>
      </c>
      <c r="Q2605" s="2" t="s">
        <v>2387</v>
      </c>
      <c r="R2605" s="11">
        <f>SUBTOTAL(3,_xlfn.SINGLE(tbl_file[RowId]))</f>
        <v>1</v>
      </c>
    </row>
    <row r="2606" spans="10:18">
      <c r="J2606" s="4">
        <v>2671</v>
      </c>
      <c r="K2606" s="21" t="str">
        <f t="shared" si="103"/>
        <v>📌 Debug metaCatchall</v>
      </c>
      <c r="L2606" s="20" t="s">
        <v>175</v>
      </c>
      <c r="M2606" s="4"/>
      <c r="N2606" s="2" t="s">
        <v>133</v>
      </c>
      <c r="O2606" s="2"/>
      <c r="P2606" s="4">
        <v>1</v>
      </c>
      <c r="Q2606" s="2" t="s">
        <v>2113</v>
      </c>
      <c r="R2606" s="11">
        <f>SUBTOTAL(3,_xlfn.SINGLE(tbl_file[RowId]))</f>
        <v>1</v>
      </c>
    </row>
    <row r="2607" spans="10:18">
      <c r="J2607" s="4">
        <v>2672</v>
      </c>
      <c r="K2607" s="21" t="str">
        <f t="shared" si="103"/>
        <v>📌 Debug metaCatchall</v>
      </c>
      <c r="L2607" s="20" t="s">
        <v>175</v>
      </c>
      <c r="M2607" s="4"/>
      <c r="N2607" s="2" t="s">
        <v>135</v>
      </c>
      <c r="O2607" s="2"/>
      <c r="P2607" s="4">
        <v>1</v>
      </c>
      <c r="Q2607" s="2" t="s">
        <v>1494</v>
      </c>
      <c r="R2607" s="11">
        <f>SUBTOTAL(3,_xlfn.SINGLE(tbl_file[RowId]))</f>
        <v>1</v>
      </c>
    </row>
    <row r="2608" spans="10:18">
      <c r="J2608" s="4">
        <v>2673</v>
      </c>
      <c r="K2608" s="21" t="str">
        <f t="shared" si="103"/>
        <v>📌 Debug metaCatchall</v>
      </c>
      <c r="L2608" s="20" t="s">
        <v>175</v>
      </c>
      <c r="M2608" s="4" t="s">
        <v>2626</v>
      </c>
      <c r="N2608" s="2" t="s">
        <v>2606</v>
      </c>
      <c r="O2608" s="2"/>
      <c r="P2608" s="4">
        <v>1</v>
      </c>
      <c r="Q2608" s="2" t="s">
        <v>2387</v>
      </c>
      <c r="R2608" s="11">
        <f>SUBTOTAL(3,_xlfn.SINGLE(tbl_file[RowId]))</f>
        <v>1</v>
      </c>
    </row>
    <row r="2609" spans="10:18">
      <c r="J2609" s="4">
        <v>2674</v>
      </c>
      <c r="K2609" s="21" t="str">
        <f>HYPERLINK("obsidian://open?vault=o2&amp;file=%F0%9F%93%8C%20Home%20Project%20Kanban.md","📌 Home Project Kanban")</f>
        <v>📌 Home Project Kanban</v>
      </c>
      <c r="L2609" s="20" t="s">
        <v>175</v>
      </c>
      <c r="M2609" s="4"/>
      <c r="N2609" s="2" t="s">
        <v>47</v>
      </c>
      <c r="O2609" s="2"/>
      <c r="P2609" s="4">
        <v>1</v>
      </c>
      <c r="Q2609" s="2" t="s">
        <v>669</v>
      </c>
      <c r="R2609" s="11">
        <f>SUBTOTAL(3,_xlfn.SINGLE(tbl_file[RowId]))</f>
        <v>1</v>
      </c>
    </row>
    <row r="2610" spans="10:18">
      <c r="J2610" s="4">
        <v>2675</v>
      </c>
      <c r="K2610" s="21" t="str">
        <f>HYPERLINK("obsidian://open?vault=o2&amp;file=%F0%9F%93%8C%20Home%20Project%20Kanban.md","📌 Home Project Kanban")</f>
        <v>📌 Home Project Kanban</v>
      </c>
      <c r="L2610" s="20" t="s">
        <v>175</v>
      </c>
      <c r="M2610" s="4"/>
      <c r="N2610" s="2" t="s">
        <v>123</v>
      </c>
      <c r="O2610" s="2"/>
      <c r="P2610" s="4">
        <v>1</v>
      </c>
      <c r="Q2610" s="2" t="s">
        <v>1492</v>
      </c>
      <c r="R2610" s="11">
        <f>SUBTOTAL(3,_xlfn.SINGLE(tbl_file[RowId]))</f>
        <v>1</v>
      </c>
    </row>
    <row r="2611" spans="10:18">
      <c r="J2611" s="4">
        <v>2676</v>
      </c>
      <c r="K2611" s="21" t="str">
        <f>HYPERLINK("obsidian://open?vault=o2&amp;file=%F0%9F%93%8C%20Home%20Project%20Kanban.md","📌 Home Project Kanban")</f>
        <v>📌 Home Project Kanban</v>
      </c>
      <c r="L2611" s="20" t="s">
        <v>175</v>
      </c>
      <c r="M2611" s="4"/>
      <c r="N2611" s="2" t="s">
        <v>2606</v>
      </c>
      <c r="O2611" s="2"/>
      <c r="P2611" s="4">
        <v>1</v>
      </c>
      <c r="Q2611" s="2" t="s">
        <v>2387</v>
      </c>
      <c r="R2611" s="11">
        <f>SUBTOTAL(3,_xlfn.SINGLE(tbl_file[RowId]))</f>
        <v>1</v>
      </c>
    </row>
    <row r="2612" spans="10:18">
      <c r="J2612" s="4">
        <v>2677</v>
      </c>
      <c r="K2612" s="21" t="str">
        <f>HYPERLINK("obsidian://open?vault=o2&amp;file=%F0%9F%93%8C%20Home%20Project%20Kanban.md","📌 Home Project Kanban")</f>
        <v>📌 Home Project Kanban</v>
      </c>
      <c r="L2612" s="20" t="s">
        <v>175</v>
      </c>
      <c r="M2612" s="4"/>
      <c r="N2612" s="2" t="s">
        <v>133</v>
      </c>
      <c r="O2612" s="2"/>
      <c r="P2612" s="4">
        <v>1</v>
      </c>
      <c r="Q2612" s="2" t="s">
        <v>2113</v>
      </c>
      <c r="R2612" s="11">
        <f>SUBTOTAL(3,_xlfn.SINGLE(tbl_file[RowId]))</f>
        <v>1</v>
      </c>
    </row>
    <row r="2613" spans="10:18">
      <c r="J2613" s="4">
        <v>2678</v>
      </c>
      <c r="K2613" s="21" t="str">
        <f>HYPERLINK("obsidian://open?vault=o2&amp;file=%F0%9F%93%8C%20Home%20Project%20Kanban.md","📌 Home Project Kanban")</f>
        <v>📌 Home Project Kanban</v>
      </c>
      <c r="L2613" s="20" t="s">
        <v>175</v>
      </c>
      <c r="M2613" s="4"/>
      <c r="N2613" s="2" t="s">
        <v>135</v>
      </c>
      <c r="O2613" s="2"/>
      <c r="P2613" s="4">
        <v>1</v>
      </c>
      <c r="Q2613" s="2" t="s">
        <v>1494</v>
      </c>
      <c r="R2613" s="11">
        <f>SUBTOTAL(3,_xlfn.SINGLE(tbl_file[RowId]))</f>
        <v>1</v>
      </c>
    </row>
    <row r="2614" spans="10:18">
      <c r="J2614" s="4">
        <v>2679</v>
      </c>
      <c r="K2614" s="21" t="str">
        <f t="shared" ref="K2614:K2619" si="104">HYPERLINK("obsidian://open?vault=o2&amp;file=%F0%9F%93%8C%20Image%20Categorization%20Kanban.md","📌 Image Categorization Kanban")</f>
        <v>📌 Image Categorization Kanban</v>
      </c>
      <c r="L2614" s="20" t="s">
        <v>175</v>
      </c>
      <c r="M2614" s="4"/>
      <c r="N2614" s="2" t="s">
        <v>47</v>
      </c>
      <c r="O2614" s="2"/>
      <c r="P2614" s="4">
        <v>1</v>
      </c>
      <c r="Q2614" s="2" t="s">
        <v>669</v>
      </c>
      <c r="R2614" s="11">
        <f>SUBTOTAL(3,_xlfn.SINGLE(tbl_file[RowId]))</f>
        <v>1</v>
      </c>
    </row>
    <row r="2615" spans="10:18">
      <c r="J2615" s="4">
        <v>2680</v>
      </c>
      <c r="K2615" s="21" t="str">
        <f t="shared" si="104"/>
        <v>📌 Image Categorization Kanban</v>
      </c>
      <c r="L2615" s="20" t="s">
        <v>175</v>
      </c>
      <c r="M2615" s="4"/>
      <c r="N2615" s="2" t="s">
        <v>123</v>
      </c>
      <c r="O2615" s="2"/>
      <c r="P2615" s="4">
        <v>1</v>
      </c>
      <c r="Q2615" s="2" t="s">
        <v>1492</v>
      </c>
      <c r="R2615" s="11">
        <f>SUBTOTAL(3,_xlfn.SINGLE(tbl_file[RowId]))</f>
        <v>1</v>
      </c>
    </row>
    <row r="2616" spans="10:18">
      <c r="J2616" s="4">
        <v>2681</v>
      </c>
      <c r="K2616" s="21" t="str">
        <f t="shared" si="104"/>
        <v>📌 Image Categorization Kanban</v>
      </c>
      <c r="L2616" s="20" t="s">
        <v>175</v>
      </c>
      <c r="M2616" s="4"/>
      <c r="N2616" s="2" t="s">
        <v>2606</v>
      </c>
      <c r="O2616" s="2"/>
      <c r="P2616" s="4">
        <v>1</v>
      </c>
      <c r="Q2616" s="2" t="s">
        <v>2387</v>
      </c>
      <c r="R2616" s="11">
        <f>SUBTOTAL(3,_xlfn.SINGLE(tbl_file[RowId]))</f>
        <v>1</v>
      </c>
    </row>
    <row r="2617" spans="10:18">
      <c r="J2617" s="4">
        <v>2682</v>
      </c>
      <c r="K2617" s="21" t="str">
        <f t="shared" si="104"/>
        <v>📌 Image Categorization Kanban</v>
      </c>
      <c r="L2617" s="20" t="s">
        <v>175</v>
      </c>
      <c r="M2617" s="4"/>
      <c r="N2617" s="2" t="s">
        <v>133</v>
      </c>
      <c r="O2617" s="2"/>
      <c r="P2617" s="4">
        <v>1</v>
      </c>
      <c r="Q2617" s="2" t="s">
        <v>2113</v>
      </c>
      <c r="R2617" s="11">
        <f>SUBTOTAL(3,_xlfn.SINGLE(tbl_file[RowId]))</f>
        <v>1</v>
      </c>
    </row>
    <row r="2618" spans="10:18">
      <c r="J2618" s="4">
        <v>2683</v>
      </c>
      <c r="K2618" s="21" t="str">
        <f t="shared" si="104"/>
        <v>📌 Image Categorization Kanban</v>
      </c>
      <c r="L2618" s="20" t="s">
        <v>175</v>
      </c>
      <c r="M2618" s="4"/>
      <c r="N2618" s="2" t="s">
        <v>135</v>
      </c>
      <c r="O2618" s="2"/>
      <c r="P2618" s="4">
        <v>1</v>
      </c>
      <c r="Q2618" s="2" t="s">
        <v>1494</v>
      </c>
      <c r="R2618" s="11">
        <f>SUBTOTAL(3,_xlfn.SINGLE(tbl_file[RowId]))</f>
        <v>1</v>
      </c>
    </row>
    <row r="2619" spans="10:18">
      <c r="J2619" s="4">
        <v>2684</v>
      </c>
      <c r="K2619" s="21" t="str">
        <f t="shared" si="104"/>
        <v>📌 Image Categorization Kanban</v>
      </c>
      <c r="L2619" s="20" t="s">
        <v>175</v>
      </c>
      <c r="M2619" s="4" t="s">
        <v>2626</v>
      </c>
      <c r="N2619" s="2" t="s">
        <v>2606</v>
      </c>
      <c r="O2619" s="2"/>
      <c r="P2619" s="4">
        <v>1</v>
      </c>
      <c r="Q2619" s="2" t="s">
        <v>2387</v>
      </c>
      <c r="R2619" s="11">
        <f>SUBTOTAL(3,_xlfn.SINGLE(tbl_file[RowId]))</f>
        <v>1</v>
      </c>
    </row>
    <row r="2620" spans="10:18">
      <c r="J2620" s="4">
        <v>271</v>
      </c>
      <c r="K2620" s="21" t="str">
        <f>HYPERLINK("obsidian://open?vault=o2&amp;file=%F0%9F%93%8C%20Learn%20Obsidian%20MD.md","📌 Learn Obsidian MD")</f>
        <v>📌 Learn Obsidian MD</v>
      </c>
      <c r="L2620" s="20" t="s">
        <v>175</v>
      </c>
      <c r="M2620" s="4"/>
      <c r="N2620" s="2" t="s">
        <v>12</v>
      </c>
      <c r="O2620" s="2"/>
      <c r="P2620" s="4">
        <v>1</v>
      </c>
      <c r="Q2620" s="2" t="s">
        <v>274</v>
      </c>
      <c r="R2620" s="11">
        <f>SUBTOTAL(3,_xlfn.SINGLE(tbl_file[RowId]))</f>
        <v>1</v>
      </c>
    </row>
    <row r="2621" spans="10:18">
      <c r="J2621" s="4">
        <v>272</v>
      </c>
      <c r="K2621" s="21" t="str">
        <f>HYPERLINK("obsidian://open?vault=o2&amp;file=%F0%9F%93%8C%20Learn%20Obsidian%20MD.md","📌 Learn Obsidian MD")</f>
        <v>📌 Learn Obsidian MD</v>
      </c>
      <c r="L2621" s="20" t="s">
        <v>175</v>
      </c>
      <c r="M2621" s="4"/>
      <c r="N2621" s="2" t="s">
        <v>47</v>
      </c>
      <c r="O2621" s="2"/>
      <c r="P2621" s="4">
        <v>1</v>
      </c>
      <c r="Q2621" s="2" t="s">
        <v>671</v>
      </c>
      <c r="R2621" s="11">
        <f>SUBTOTAL(3,_xlfn.SINGLE(tbl_file[RowId]))</f>
        <v>1</v>
      </c>
    </row>
    <row r="2622" spans="10:18">
      <c r="J2622" s="4">
        <v>273</v>
      </c>
      <c r="K2622" s="21" t="str">
        <f>HYPERLINK("obsidian://open?vault=o2&amp;file=%F0%9F%93%8C%20Learn%20Obsidian%20MD.md","📌 Learn Obsidian MD")</f>
        <v>📌 Learn Obsidian MD</v>
      </c>
      <c r="L2622" s="20" t="s">
        <v>175</v>
      </c>
      <c r="M2622" s="4"/>
      <c r="N2622" s="2" t="s">
        <v>2606</v>
      </c>
      <c r="O2622" s="2"/>
      <c r="P2622" s="4">
        <v>1</v>
      </c>
      <c r="Q2622" s="2" t="s">
        <v>2387</v>
      </c>
      <c r="R2622" s="11">
        <f>SUBTOTAL(3,_xlfn.SINGLE(tbl_file[RowId]))</f>
        <v>1</v>
      </c>
    </row>
    <row r="2623" spans="10:18">
      <c r="J2623" s="4">
        <v>274</v>
      </c>
      <c r="K2623" s="21" t="str">
        <f>HYPERLINK("obsidian://open?vault=o2&amp;file=%F0%9F%93%8C%20Learn%20Obsidian%20MD.md","📌 Learn Obsidian MD")</f>
        <v>📌 Learn Obsidian MD</v>
      </c>
      <c r="L2623" s="20" t="s">
        <v>175</v>
      </c>
      <c r="M2623" s="4"/>
      <c r="N2623" s="2" t="s">
        <v>133</v>
      </c>
      <c r="O2623" s="2"/>
      <c r="P2623" s="4">
        <v>1</v>
      </c>
      <c r="Q2623" s="2" t="s">
        <v>2113</v>
      </c>
      <c r="R2623" s="11">
        <f>SUBTOTAL(3,_xlfn.SINGLE(tbl_file[RowId]))</f>
        <v>1</v>
      </c>
    </row>
    <row r="2624" spans="10:18">
      <c r="J2624" s="4">
        <v>275</v>
      </c>
      <c r="K2624" s="21" t="str">
        <f>HYPERLINK("obsidian://open?vault=o2&amp;file=%F0%9F%93%8C%20Learn%20Obsidian%20MD.md","📌 Learn Obsidian MD")</f>
        <v>📌 Learn Obsidian MD</v>
      </c>
      <c r="L2624" s="20" t="s">
        <v>175</v>
      </c>
      <c r="M2624" s="4"/>
      <c r="N2624" s="2" t="s">
        <v>135</v>
      </c>
      <c r="O2624" s="2"/>
      <c r="P2624" s="4">
        <v>1</v>
      </c>
      <c r="Q2624" s="2" t="s">
        <v>2150</v>
      </c>
      <c r="R2624" s="11">
        <f>SUBTOTAL(3,_xlfn.SINGLE(tbl_file[RowId]))</f>
        <v>1</v>
      </c>
    </row>
    <row r="2625" spans="10:18">
      <c r="J2625" s="4">
        <v>2685</v>
      </c>
      <c r="K2625" s="21" t="str">
        <f>HYPERLINK("obsidian://open?vault=o2&amp;file=%F0%9F%93%8C%20Learning%20iOS%20Kanban.md","📌 Learning iOS Kanban")</f>
        <v>📌 Learning iOS Kanban</v>
      </c>
      <c r="L2625" s="20" t="s">
        <v>175</v>
      </c>
      <c r="M2625" s="4"/>
      <c r="N2625" s="2" t="s">
        <v>47</v>
      </c>
      <c r="O2625" s="2"/>
      <c r="P2625" s="4">
        <v>1</v>
      </c>
      <c r="Q2625" s="2" t="s">
        <v>669</v>
      </c>
      <c r="R2625" s="11">
        <f>SUBTOTAL(3,_xlfn.SINGLE(tbl_file[RowId]))</f>
        <v>1</v>
      </c>
    </row>
    <row r="2626" spans="10:18">
      <c r="J2626" s="4">
        <v>2686</v>
      </c>
      <c r="K2626" s="21" t="str">
        <f>HYPERLINK("obsidian://open?vault=o2&amp;file=%F0%9F%93%8C%20Learning%20iOS%20Kanban.md","📌 Learning iOS Kanban")</f>
        <v>📌 Learning iOS Kanban</v>
      </c>
      <c r="L2626" s="20" t="s">
        <v>175</v>
      </c>
      <c r="M2626" s="4"/>
      <c r="N2626" s="2" t="s">
        <v>123</v>
      </c>
      <c r="O2626" s="2"/>
      <c r="P2626" s="4">
        <v>1</v>
      </c>
      <c r="Q2626" s="2" t="s">
        <v>1492</v>
      </c>
      <c r="R2626" s="11">
        <f>SUBTOTAL(3,_xlfn.SINGLE(tbl_file[RowId]))</f>
        <v>1</v>
      </c>
    </row>
    <row r="2627" spans="10:18">
      <c r="J2627" s="4">
        <v>2687</v>
      </c>
      <c r="K2627" s="21" t="str">
        <f>HYPERLINK("obsidian://open?vault=o2&amp;file=%F0%9F%93%8C%20Learning%20iOS%20Kanban.md","📌 Learning iOS Kanban")</f>
        <v>📌 Learning iOS Kanban</v>
      </c>
      <c r="L2627" s="20" t="s">
        <v>175</v>
      </c>
      <c r="M2627" s="4"/>
      <c r="N2627" s="2" t="s">
        <v>2606</v>
      </c>
      <c r="O2627" s="2"/>
      <c r="P2627" s="4">
        <v>1</v>
      </c>
      <c r="Q2627" s="2" t="s">
        <v>2387</v>
      </c>
      <c r="R2627" s="11">
        <f>SUBTOTAL(3,_xlfn.SINGLE(tbl_file[RowId]))</f>
        <v>1</v>
      </c>
    </row>
    <row r="2628" spans="10:18">
      <c r="J2628" s="4">
        <v>2688</v>
      </c>
      <c r="K2628" s="21" t="str">
        <f>HYPERLINK("obsidian://open?vault=o2&amp;file=%F0%9F%93%8C%20Learning%20iOS%20Kanban.md","📌 Learning iOS Kanban")</f>
        <v>📌 Learning iOS Kanban</v>
      </c>
      <c r="L2628" s="20" t="s">
        <v>175</v>
      </c>
      <c r="M2628" s="4"/>
      <c r="N2628" s="2" t="s">
        <v>133</v>
      </c>
      <c r="O2628" s="2"/>
      <c r="P2628" s="4">
        <v>1</v>
      </c>
      <c r="Q2628" s="2" t="s">
        <v>2113</v>
      </c>
      <c r="R2628" s="11">
        <f>SUBTOTAL(3,_xlfn.SINGLE(tbl_file[RowId]))</f>
        <v>1</v>
      </c>
    </row>
    <row r="2629" spans="10:18">
      <c r="J2629" s="4">
        <v>2689</v>
      </c>
      <c r="K2629" s="21" t="str">
        <f>HYPERLINK("obsidian://open?vault=o2&amp;file=%F0%9F%93%8C%20Learning%20iOS%20Kanban.md","📌 Learning iOS Kanban")</f>
        <v>📌 Learning iOS Kanban</v>
      </c>
      <c r="L2629" s="20" t="s">
        <v>175</v>
      </c>
      <c r="M2629" s="4"/>
      <c r="N2629" s="2" t="s">
        <v>135</v>
      </c>
      <c r="O2629" s="2"/>
      <c r="P2629" s="4">
        <v>1</v>
      </c>
      <c r="Q2629" s="2" t="s">
        <v>1494</v>
      </c>
      <c r="R2629" s="11">
        <f>SUBTOTAL(3,_xlfn.SINGLE(tbl_file[RowId]))</f>
        <v>1</v>
      </c>
    </row>
    <row r="2630" spans="10:18">
      <c r="J2630" s="4">
        <v>2690</v>
      </c>
      <c r="K2630" s="21" t="str">
        <f>HYPERLINK("obsidian://open?vault=o2&amp;file=%F0%9F%93%8C%20Media%20Project%20Kanban.md","📌 Media Project Kanban")</f>
        <v>📌 Media Project Kanban</v>
      </c>
      <c r="L2630" s="20" t="s">
        <v>175</v>
      </c>
      <c r="M2630" s="4"/>
      <c r="N2630" s="2" t="s">
        <v>47</v>
      </c>
      <c r="O2630" s="2"/>
      <c r="P2630" s="4">
        <v>1</v>
      </c>
      <c r="Q2630" s="2" t="s">
        <v>669</v>
      </c>
      <c r="R2630" s="11">
        <f>SUBTOTAL(3,_xlfn.SINGLE(tbl_file[RowId]))</f>
        <v>1</v>
      </c>
    </row>
    <row r="2631" spans="10:18">
      <c r="J2631" s="4">
        <v>2691</v>
      </c>
      <c r="K2631" s="21" t="str">
        <f>HYPERLINK("obsidian://open?vault=o2&amp;file=%F0%9F%93%8C%20Media%20Project%20Kanban.md","📌 Media Project Kanban")</f>
        <v>📌 Media Project Kanban</v>
      </c>
      <c r="L2631" s="20" t="s">
        <v>175</v>
      </c>
      <c r="M2631" s="4"/>
      <c r="N2631" s="2" t="s">
        <v>123</v>
      </c>
      <c r="O2631" s="2"/>
      <c r="P2631" s="4">
        <v>1</v>
      </c>
      <c r="Q2631" s="2" t="s">
        <v>1492</v>
      </c>
      <c r="R2631" s="11">
        <f>SUBTOTAL(3,_xlfn.SINGLE(tbl_file[RowId]))</f>
        <v>1</v>
      </c>
    </row>
    <row r="2632" spans="10:18">
      <c r="J2632" s="4">
        <v>2692</v>
      </c>
      <c r="K2632" s="21" t="str">
        <f>HYPERLINK("obsidian://open?vault=o2&amp;file=%F0%9F%93%8C%20Media%20Project%20Kanban.md","📌 Media Project Kanban")</f>
        <v>📌 Media Project Kanban</v>
      </c>
      <c r="L2632" s="20" t="s">
        <v>175</v>
      </c>
      <c r="M2632" s="4"/>
      <c r="N2632" s="2" t="s">
        <v>2606</v>
      </c>
      <c r="O2632" s="2"/>
      <c r="P2632" s="4">
        <v>1</v>
      </c>
      <c r="Q2632" s="2" t="s">
        <v>2387</v>
      </c>
      <c r="R2632" s="11">
        <f>SUBTOTAL(3,_xlfn.SINGLE(tbl_file[RowId]))</f>
        <v>1</v>
      </c>
    </row>
    <row r="2633" spans="10:18">
      <c r="J2633" s="4">
        <v>2693</v>
      </c>
      <c r="K2633" s="21" t="str">
        <f>HYPERLINK("obsidian://open?vault=o2&amp;file=%F0%9F%93%8C%20Media%20Project%20Kanban.md","📌 Media Project Kanban")</f>
        <v>📌 Media Project Kanban</v>
      </c>
      <c r="L2633" s="20" t="s">
        <v>175</v>
      </c>
      <c r="M2633" s="4"/>
      <c r="N2633" s="2" t="s">
        <v>133</v>
      </c>
      <c r="O2633" s="2"/>
      <c r="P2633" s="4">
        <v>1</v>
      </c>
      <c r="Q2633" s="2" t="s">
        <v>2113</v>
      </c>
      <c r="R2633" s="11">
        <f>SUBTOTAL(3,_xlfn.SINGLE(tbl_file[RowId]))</f>
        <v>1</v>
      </c>
    </row>
    <row r="2634" spans="10:18">
      <c r="J2634" s="4">
        <v>2694</v>
      </c>
      <c r="K2634" s="21" t="str">
        <f>HYPERLINK("obsidian://open?vault=o2&amp;file=%F0%9F%93%8C%20Media%20Project%20Kanban.md","📌 Media Project Kanban")</f>
        <v>📌 Media Project Kanban</v>
      </c>
      <c r="L2634" s="20" t="s">
        <v>175</v>
      </c>
      <c r="M2634" s="4"/>
      <c r="N2634" s="2" t="s">
        <v>135</v>
      </c>
      <c r="O2634" s="2"/>
      <c r="P2634" s="4">
        <v>1</v>
      </c>
      <c r="Q2634" s="2" t="s">
        <v>1494</v>
      </c>
      <c r="R2634" s="11">
        <f>SUBTOTAL(3,_xlfn.SINGLE(tbl_file[RowId]))</f>
        <v>1</v>
      </c>
    </row>
    <row r="2635" spans="10:18">
      <c r="J2635" s="4">
        <v>2695</v>
      </c>
      <c r="K2635" s="21" t="str">
        <f>HYPERLINK("obsidian://open?vault=o2&amp;file=%F0%9F%93%8C%20Money%20Management%20Kanban.md","📌 Money Management Kanban")</f>
        <v>📌 Money Management Kanban</v>
      </c>
      <c r="L2635" s="20" t="s">
        <v>175</v>
      </c>
      <c r="M2635" s="4"/>
      <c r="N2635" s="2" t="s">
        <v>47</v>
      </c>
      <c r="O2635" s="2"/>
      <c r="P2635" s="4">
        <v>1</v>
      </c>
      <c r="Q2635" s="2" t="s">
        <v>669</v>
      </c>
      <c r="R2635" s="11">
        <f>SUBTOTAL(3,_xlfn.SINGLE(tbl_file[RowId]))</f>
        <v>1</v>
      </c>
    </row>
    <row r="2636" spans="10:18">
      <c r="J2636" s="4">
        <v>2696</v>
      </c>
      <c r="K2636" s="21" t="str">
        <f>HYPERLINK("obsidian://open?vault=o2&amp;file=%F0%9F%93%8C%20Money%20Management%20Kanban.md","📌 Money Management Kanban")</f>
        <v>📌 Money Management Kanban</v>
      </c>
      <c r="L2636" s="20" t="s">
        <v>175</v>
      </c>
      <c r="M2636" s="4"/>
      <c r="N2636" s="2" t="s">
        <v>123</v>
      </c>
      <c r="O2636" s="2"/>
      <c r="P2636" s="4">
        <v>1</v>
      </c>
      <c r="Q2636" s="2" t="s">
        <v>1492</v>
      </c>
      <c r="R2636" s="11">
        <f>SUBTOTAL(3,_xlfn.SINGLE(tbl_file[RowId]))</f>
        <v>1</v>
      </c>
    </row>
    <row r="2637" spans="10:18">
      <c r="J2637" s="4">
        <v>2697</v>
      </c>
      <c r="K2637" s="21" t="str">
        <f>HYPERLINK("obsidian://open?vault=o2&amp;file=%F0%9F%93%8C%20Money%20Management%20Kanban.md","📌 Money Management Kanban")</f>
        <v>📌 Money Management Kanban</v>
      </c>
      <c r="L2637" s="20" t="s">
        <v>175</v>
      </c>
      <c r="M2637" s="4"/>
      <c r="N2637" s="2" t="s">
        <v>2606</v>
      </c>
      <c r="O2637" s="2"/>
      <c r="P2637" s="4">
        <v>1</v>
      </c>
      <c r="Q2637" s="2" t="s">
        <v>2387</v>
      </c>
      <c r="R2637" s="11">
        <f>SUBTOTAL(3,_xlfn.SINGLE(tbl_file[RowId]))</f>
        <v>1</v>
      </c>
    </row>
    <row r="2638" spans="10:18">
      <c r="J2638" s="4">
        <v>2698</v>
      </c>
      <c r="K2638" s="21" t="str">
        <f>HYPERLINK("obsidian://open?vault=o2&amp;file=%F0%9F%93%8C%20Money%20Management%20Kanban.md","📌 Money Management Kanban")</f>
        <v>📌 Money Management Kanban</v>
      </c>
      <c r="L2638" s="20" t="s">
        <v>175</v>
      </c>
      <c r="M2638" s="4"/>
      <c r="N2638" s="2" t="s">
        <v>133</v>
      </c>
      <c r="O2638" s="2"/>
      <c r="P2638" s="4">
        <v>1</v>
      </c>
      <c r="Q2638" s="2" t="s">
        <v>2113</v>
      </c>
      <c r="R2638" s="11">
        <f>SUBTOTAL(3,_xlfn.SINGLE(tbl_file[RowId]))</f>
        <v>1</v>
      </c>
    </row>
    <row r="2639" spans="10:18">
      <c r="J2639" s="4">
        <v>2699</v>
      </c>
      <c r="K2639" s="21" t="str">
        <f>HYPERLINK("obsidian://open?vault=o2&amp;file=%F0%9F%93%8C%20Money%20Management%20Kanban.md","📌 Money Management Kanban")</f>
        <v>📌 Money Management Kanban</v>
      </c>
      <c r="L2639" s="20" t="s">
        <v>175</v>
      </c>
      <c r="M2639" s="4"/>
      <c r="N2639" s="2" t="s">
        <v>135</v>
      </c>
      <c r="O2639" s="2"/>
      <c r="P2639" s="4">
        <v>1</v>
      </c>
      <c r="Q2639" s="2" t="s">
        <v>1494</v>
      </c>
      <c r="R2639" s="11">
        <f>SUBTOTAL(3,_xlfn.SINGLE(tbl_file[RowId]))</f>
        <v>1</v>
      </c>
    </row>
    <row r="2640" spans="10:18">
      <c r="J2640" s="4">
        <v>2700</v>
      </c>
      <c r="K2640" s="21" t="str">
        <f>HYPERLINK("obsidian://open?vault=o2&amp;file=%F0%9F%93%8C%20My%20Daily%20Kanban.md","📌 My Daily Kanban")</f>
        <v>📌 My Daily Kanban</v>
      </c>
      <c r="L2640" s="20" t="s">
        <v>175</v>
      </c>
      <c r="M2640" s="4"/>
      <c r="N2640" s="2" t="s">
        <v>47</v>
      </c>
      <c r="O2640" s="2"/>
      <c r="P2640" s="4">
        <v>1</v>
      </c>
      <c r="Q2640" s="2" t="s">
        <v>671</v>
      </c>
      <c r="R2640" s="11">
        <f>SUBTOTAL(3,_xlfn.SINGLE(tbl_file[RowId]))</f>
        <v>1</v>
      </c>
    </row>
    <row r="2641" spans="10:18">
      <c r="J2641" s="4">
        <v>2701</v>
      </c>
      <c r="K2641" s="21" t="str">
        <f>HYPERLINK("obsidian://open?vault=o2&amp;file=%F0%9F%93%8C%20My%20Daily%20Kanban.md","📌 My Daily Kanban")</f>
        <v>📌 My Daily Kanban</v>
      </c>
      <c r="L2641" s="20" t="s">
        <v>175</v>
      </c>
      <c r="M2641" s="4"/>
      <c r="N2641" s="2" t="s">
        <v>2606</v>
      </c>
      <c r="O2641" s="2"/>
      <c r="P2641" s="4">
        <v>1</v>
      </c>
      <c r="Q2641" s="2" t="s">
        <v>2387</v>
      </c>
      <c r="R2641" s="11">
        <f>SUBTOTAL(3,_xlfn.SINGLE(tbl_file[RowId]))</f>
        <v>1</v>
      </c>
    </row>
    <row r="2642" spans="10:18">
      <c r="J2642" s="4">
        <v>437</v>
      </c>
      <c r="K2642" s="21" t="str">
        <f>HYPERLINK("obsidian://open?vault=o2&amp;file=%F0%9F%93%8C%20My%20Kanbans.md","📌 My Kanbans")</f>
        <v>📌 My Kanbans</v>
      </c>
      <c r="L2642" s="20" t="s">
        <v>175</v>
      </c>
      <c r="M2642" s="4"/>
      <c r="N2642" s="2" t="s">
        <v>50</v>
      </c>
      <c r="O2642" s="2"/>
      <c r="P2642" s="4">
        <v>2</v>
      </c>
      <c r="Q2642" s="2" t="s">
        <v>2687</v>
      </c>
      <c r="R2642" s="11">
        <f>SUBTOTAL(3,_xlfn.SINGLE(tbl_file[RowId]))</f>
        <v>1</v>
      </c>
    </row>
    <row r="2643" spans="10:18">
      <c r="J2643" s="4">
        <v>438</v>
      </c>
      <c r="K2643" s="21" t="str">
        <f>HYPERLINK("obsidian://open?vault=o2&amp;file=%F0%9F%93%8C%20My%20Kanbans.md","📌 My Kanbans")</f>
        <v>📌 My Kanbans</v>
      </c>
      <c r="L2643" s="20" t="s">
        <v>175</v>
      </c>
      <c r="M2643" s="4"/>
      <c r="N2643" s="2" t="s">
        <v>2606</v>
      </c>
      <c r="O2643" s="2"/>
      <c r="P2643" s="4">
        <v>1</v>
      </c>
      <c r="Q2643" s="2" t="s">
        <v>2575</v>
      </c>
      <c r="R2643" s="11">
        <f>SUBTOTAL(3,_xlfn.SINGLE(tbl_file[RowId]))</f>
        <v>1</v>
      </c>
    </row>
    <row r="2644" spans="10:18">
      <c r="J2644" s="4">
        <v>2702</v>
      </c>
      <c r="K2644" s="21" t="str">
        <f>HYPERLINK("obsidian://open?vault=o2&amp;file=%F0%9F%93%8C%20My%20Obsidian%20Kanban.md","📌 My Obsidian Kanban")</f>
        <v>📌 My Obsidian Kanban</v>
      </c>
      <c r="L2644" s="20" t="s">
        <v>175</v>
      </c>
      <c r="M2644" s="4"/>
      <c r="N2644" s="2" t="s">
        <v>47</v>
      </c>
      <c r="O2644" s="2"/>
      <c r="P2644" s="4">
        <v>1</v>
      </c>
      <c r="Q2644" s="2" t="s">
        <v>669</v>
      </c>
      <c r="R2644" s="11">
        <f>SUBTOTAL(3,_xlfn.SINGLE(tbl_file[RowId]))</f>
        <v>1</v>
      </c>
    </row>
    <row r="2645" spans="10:18">
      <c r="J2645" s="4">
        <v>2703</v>
      </c>
      <c r="K2645" s="21" t="str">
        <f>HYPERLINK("obsidian://open?vault=o2&amp;file=%F0%9F%93%8C%20My%20Obsidian%20Kanban.md","📌 My Obsidian Kanban")</f>
        <v>📌 My Obsidian Kanban</v>
      </c>
      <c r="L2645" s="20" t="s">
        <v>175</v>
      </c>
      <c r="M2645" s="4"/>
      <c r="N2645" s="2" t="s">
        <v>123</v>
      </c>
      <c r="O2645" s="2"/>
      <c r="P2645" s="4">
        <v>1</v>
      </c>
      <c r="Q2645" s="2" t="s">
        <v>1492</v>
      </c>
      <c r="R2645" s="11">
        <f>SUBTOTAL(3,_xlfn.SINGLE(tbl_file[RowId]))</f>
        <v>1</v>
      </c>
    </row>
    <row r="2646" spans="10:18">
      <c r="J2646" s="4">
        <v>2704</v>
      </c>
      <c r="K2646" s="21" t="str">
        <f>HYPERLINK("obsidian://open?vault=o2&amp;file=%F0%9F%93%8C%20My%20Obsidian%20Kanban.md","📌 My Obsidian Kanban")</f>
        <v>📌 My Obsidian Kanban</v>
      </c>
      <c r="L2646" s="20" t="s">
        <v>175</v>
      </c>
      <c r="M2646" s="4"/>
      <c r="N2646" s="2" t="s">
        <v>2606</v>
      </c>
      <c r="O2646" s="2"/>
      <c r="P2646" s="4">
        <v>1</v>
      </c>
      <c r="Q2646" s="2" t="s">
        <v>2387</v>
      </c>
      <c r="R2646" s="11">
        <f>SUBTOTAL(3,_xlfn.SINGLE(tbl_file[RowId]))</f>
        <v>1</v>
      </c>
    </row>
    <row r="2647" spans="10:18">
      <c r="J2647" s="4">
        <v>2705</v>
      </c>
      <c r="K2647" s="21" t="str">
        <f>HYPERLINK("obsidian://open?vault=o2&amp;file=%F0%9F%93%8C%20My%20Obsidian%20Kanban.md","📌 My Obsidian Kanban")</f>
        <v>📌 My Obsidian Kanban</v>
      </c>
      <c r="L2647" s="20" t="s">
        <v>175</v>
      </c>
      <c r="M2647" s="4"/>
      <c r="N2647" s="2" t="s">
        <v>133</v>
      </c>
      <c r="O2647" s="2"/>
      <c r="P2647" s="4">
        <v>1</v>
      </c>
      <c r="Q2647" s="2" t="s">
        <v>2113</v>
      </c>
      <c r="R2647" s="11">
        <f>SUBTOTAL(3,_xlfn.SINGLE(tbl_file[RowId]))</f>
        <v>1</v>
      </c>
    </row>
    <row r="2648" spans="10:18">
      <c r="J2648" s="4">
        <v>2706</v>
      </c>
      <c r="K2648" s="21" t="str">
        <f>HYPERLINK("obsidian://open?vault=o2&amp;file=%F0%9F%93%8C%20My%20Obsidian%20Kanban.md","📌 My Obsidian Kanban")</f>
        <v>📌 My Obsidian Kanban</v>
      </c>
      <c r="L2648" s="20" t="s">
        <v>175</v>
      </c>
      <c r="M2648" s="4"/>
      <c r="N2648" s="2" t="s">
        <v>135</v>
      </c>
      <c r="O2648" s="2"/>
      <c r="P2648" s="4">
        <v>1</v>
      </c>
      <c r="Q2648" s="2" t="s">
        <v>1494</v>
      </c>
      <c r="R2648" s="11">
        <f>SUBTOTAL(3,_xlfn.SINGLE(tbl_file[RowId]))</f>
        <v>1</v>
      </c>
    </row>
    <row r="2649" spans="10:18">
      <c r="J2649" s="4">
        <v>2707</v>
      </c>
      <c r="K2649" s="21" t="str">
        <f>HYPERLINK("obsidian://open?vault=o2&amp;file=%F0%9F%93%8C%20Obsidian%20Person%20Database%20Kanban.md","📌 Obsidian Person Database Kanban")</f>
        <v>📌 Obsidian Person Database Kanban</v>
      </c>
      <c r="L2649" s="20" t="s">
        <v>175</v>
      </c>
      <c r="M2649" s="4"/>
      <c r="N2649" s="2" t="s">
        <v>47</v>
      </c>
      <c r="O2649" s="2"/>
      <c r="P2649" s="4">
        <v>1</v>
      </c>
      <c r="Q2649" s="2" t="s">
        <v>671</v>
      </c>
      <c r="R2649" s="11">
        <f>SUBTOTAL(3,_xlfn.SINGLE(tbl_file[RowId]))</f>
        <v>1</v>
      </c>
    </row>
    <row r="2650" spans="10:18">
      <c r="J2650" s="4">
        <v>2708</v>
      </c>
      <c r="K2650" s="21" t="str">
        <f>HYPERLINK("obsidian://open?vault=o2&amp;file=%F0%9F%93%8C%20Obsidian%20Person%20Database%20Kanban.md","📌 Obsidian Person Database Kanban")</f>
        <v>📌 Obsidian Person Database Kanban</v>
      </c>
      <c r="L2650" s="20" t="s">
        <v>175</v>
      </c>
      <c r="M2650" s="4"/>
      <c r="N2650" s="2" t="s">
        <v>2606</v>
      </c>
      <c r="O2650" s="2"/>
      <c r="P2650" s="4">
        <v>1</v>
      </c>
      <c r="Q2650" s="2" t="s">
        <v>2387</v>
      </c>
      <c r="R2650" s="11">
        <f>SUBTOTAL(3,_xlfn.SINGLE(tbl_file[RowId]))</f>
        <v>1</v>
      </c>
    </row>
    <row r="2651" spans="10:18">
      <c r="J2651" s="4">
        <v>2709</v>
      </c>
      <c r="K2651" s="21" t="str">
        <f>HYPERLINK("obsidian://open?vault=o2&amp;file=%F0%9F%93%8C%20Obsidian%20Setup%20Kanban.md","📌 Obsidian Setup Kanban")</f>
        <v>📌 Obsidian Setup Kanban</v>
      </c>
      <c r="L2651" s="20" t="s">
        <v>175</v>
      </c>
      <c r="M2651" s="4"/>
      <c r="N2651" s="2" t="s">
        <v>47</v>
      </c>
      <c r="O2651" s="2"/>
      <c r="P2651" s="4">
        <v>1</v>
      </c>
      <c r="Q2651" s="2" t="s">
        <v>669</v>
      </c>
      <c r="R2651" s="11">
        <f>SUBTOTAL(3,_xlfn.SINGLE(tbl_file[RowId]))</f>
        <v>1</v>
      </c>
    </row>
    <row r="2652" spans="10:18">
      <c r="J2652" s="4">
        <v>2710</v>
      </c>
      <c r="K2652" s="21" t="str">
        <f>HYPERLINK("obsidian://open?vault=o2&amp;file=%F0%9F%93%8C%20Obsidian%20Setup%20Kanban.md","📌 Obsidian Setup Kanban")</f>
        <v>📌 Obsidian Setup Kanban</v>
      </c>
      <c r="L2652" s="20" t="s">
        <v>175</v>
      </c>
      <c r="M2652" s="4"/>
      <c r="N2652" s="2" t="s">
        <v>123</v>
      </c>
      <c r="O2652" s="2"/>
      <c r="P2652" s="4">
        <v>1</v>
      </c>
      <c r="Q2652" s="2" t="s">
        <v>1492</v>
      </c>
      <c r="R2652" s="11">
        <f>SUBTOTAL(3,_xlfn.SINGLE(tbl_file[RowId]))</f>
        <v>1</v>
      </c>
    </row>
    <row r="2653" spans="10:18">
      <c r="J2653" s="4">
        <v>2711</v>
      </c>
      <c r="K2653" s="21" t="str">
        <f>HYPERLINK("obsidian://open?vault=o2&amp;file=%F0%9F%93%8C%20Obsidian%20Setup%20Kanban.md","📌 Obsidian Setup Kanban")</f>
        <v>📌 Obsidian Setup Kanban</v>
      </c>
      <c r="L2653" s="20" t="s">
        <v>175</v>
      </c>
      <c r="M2653" s="4"/>
      <c r="N2653" s="2" t="s">
        <v>2606</v>
      </c>
      <c r="O2653" s="2"/>
      <c r="P2653" s="4">
        <v>1</v>
      </c>
      <c r="Q2653" s="2" t="s">
        <v>2387</v>
      </c>
      <c r="R2653" s="11">
        <f>SUBTOTAL(3,_xlfn.SINGLE(tbl_file[RowId]))</f>
        <v>1</v>
      </c>
    </row>
    <row r="2654" spans="10:18">
      <c r="J2654" s="4">
        <v>2712</v>
      </c>
      <c r="K2654" s="21" t="str">
        <f>HYPERLINK("obsidian://open?vault=o2&amp;file=%F0%9F%93%8C%20Obsidian%20Setup%20Kanban.md","📌 Obsidian Setup Kanban")</f>
        <v>📌 Obsidian Setup Kanban</v>
      </c>
      <c r="L2654" s="20" t="s">
        <v>175</v>
      </c>
      <c r="M2654" s="4"/>
      <c r="N2654" s="2" t="s">
        <v>133</v>
      </c>
      <c r="O2654" s="2"/>
      <c r="P2654" s="4">
        <v>1</v>
      </c>
      <c r="Q2654" s="2" t="s">
        <v>2113</v>
      </c>
      <c r="R2654" s="11">
        <f>SUBTOTAL(3,_xlfn.SINGLE(tbl_file[RowId]))</f>
        <v>1</v>
      </c>
    </row>
    <row r="2655" spans="10:18">
      <c r="J2655" s="4">
        <v>2713</v>
      </c>
      <c r="K2655" s="21" t="str">
        <f>HYPERLINK("obsidian://open?vault=o2&amp;file=%F0%9F%93%8C%20Obsidian%20Setup%20Kanban.md","📌 Obsidian Setup Kanban")</f>
        <v>📌 Obsidian Setup Kanban</v>
      </c>
      <c r="L2655" s="20" t="s">
        <v>175</v>
      </c>
      <c r="M2655" s="4"/>
      <c r="N2655" s="2" t="s">
        <v>135</v>
      </c>
      <c r="O2655" s="2"/>
      <c r="P2655" s="4">
        <v>1</v>
      </c>
      <c r="Q2655" s="2" t="s">
        <v>1494</v>
      </c>
      <c r="R2655" s="11">
        <f>SUBTOTAL(3,_xlfn.SINGLE(tbl_file[RowId]))</f>
        <v>1</v>
      </c>
    </row>
    <row r="2656" spans="10:18">
      <c r="J2656" s="4">
        <v>2714</v>
      </c>
      <c r="K2656" s="21" t="str">
        <f>HYPERLINK("obsidian://open?vault=o2&amp;file=%F0%9F%93%8C%20Office%20Desk%20Design%20Kanban.md","📌 Office Desk Design Kanban")</f>
        <v>📌 Office Desk Design Kanban</v>
      </c>
      <c r="L2656" s="20" t="s">
        <v>175</v>
      </c>
      <c r="M2656" s="4"/>
      <c r="N2656" s="2" t="s">
        <v>47</v>
      </c>
      <c r="O2656" s="2"/>
      <c r="P2656" s="4">
        <v>1</v>
      </c>
      <c r="Q2656" s="2" t="s">
        <v>669</v>
      </c>
      <c r="R2656" s="11">
        <f>SUBTOTAL(3,_xlfn.SINGLE(tbl_file[RowId]))</f>
        <v>1</v>
      </c>
    </row>
    <row r="2657" spans="10:18">
      <c r="J2657" s="4">
        <v>2715</v>
      </c>
      <c r="K2657" s="21" t="str">
        <f>HYPERLINK("obsidian://open?vault=o2&amp;file=%F0%9F%93%8C%20Office%20Desk%20Design%20Kanban.md","📌 Office Desk Design Kanban")</f>
        <v>📌 Office Desk Design Kanban</v>
      </c>
      <c r="L2657" s="20" t="s">
        <v>175</v>
      </c>
      <c r="M2657" s="4"/>
      <c r="N2657" s="2" t="s">
        <v>123</v>
      </c>
      <c r="O2657" s="2"/>
      <c r="P2657" s="4">
        <v>1</v>
      </c>
      <c r="Q2657" s="2" t="s">
        <v>1492</v>
      </c>
      <c r="R2657" s="11">
        <f>SUBTOTAL(3,_xlfn.SINGLE(tbl_file[RowId]))</f>
        <v>1</v>
      </c>
    </row>
    <row r="2658" spans="10:18">
      <c r="J2658" s="4">
        <v>2716</v>
      </c>
      <c r="K2658" s="21" t="str">
        <f>HYPERLINK("obsidian://open?vault=o2&amp;file=%F0%9F%93%8C%20Office%20Desk%20Design%20Kanban.md","📌 Office Desk Design Kanban")</f>
        <v>📌 Office Desk Design Kanban</v>
      </c>
      <c r="L2658" s="20" t="s">
        <v>175</v>
      </c>
      <c r="M2658" s="4"/>
      <c r="N2658" s="2" t="s">
        <v>2606</v>
      </c>
      <c r="O2658" s="2"/>
      <c r="P2658" s="4">
        <v>1</v>
      </c>
      <c r="Q2658" s="2" t="s">
        <v>2387</v>
      </c>
      <c r="R2658" s="11">
        <f>SUBTOTAL(3,_xlfn.SINGLE(tbl_file[RowId]))</f>
        <v>1</v>
      </c>
    </row>
    <row r="2659" spans="10:18">
      <c r="J2659" s="4">
        <v>2717</v>
      </c>
      <c r="K2659" s="21" t="str">
        <f>HYPERLINK("obsidian://open?vault=o2&amp;file=%F0%9F%93%8C%20Office%20Desk%20Design%20Kanban.md","📌 Office Desk Design Kanban")</f>
        <v>📌 Office Desk Design Kanban</v>
      </c>
      <c r="L2659" s="20" t="s">
        <v>175</v>
      </c>
      <c r="M2659" s="4"/>
      <c r="N2659" s="2" t="s">
        <v>133</v>
      </c>
      <c r="O2659" s="2"/>
      <c r="P2659" s="4">
        <v>1</v>
      </c>
      <c r="Q2659" s="2" t="s">
        <v>2113</v>
      </c>
      <c r="R2659" s="11">
        <f>SUBTOTAL(3,_xlfn.SINGLE(tbl_file[RowId]))</f>
        <v>1</v>
      </c>
    </row>
    <row r="2660" spans="10:18">
      <c r="J2660" s="4">
        <v>2718</v>
      </c>
      <c r="K2660" s="21" t="str">
        <f>HYPERLINK("obsidian://open?vault=o2&amp;file=%F0%9F%93%8C%20Office%20Desk%20Design%20Kanban.md","📌 Office Desk Design Kanban")</f>
        <v>📌 Office Desk Design Kanban</v>
      </c>
      <c r="L2660" s="20" t="s">
        <v>175</v>
      </c>
      <c r="M2660" s="4"/>
      <c r="N2660" s="2" t="s">
        <v>135</v>
      </c>
      <c r="O2660" s="2"/>
      <c r="P2660" s="4">
        <v>1</v>
      </c>
      <c r="Q2660" s="2" t="s">
        <v>1494</v>
      </c>
      <c r="R2660" s="11">
        <f>SUBTOTAL(3,_xlfn.SINGLE(tbl_file[RowId]))</f>
        <v>1</v>
      </c>
    </row>
    <row r="2661" spans="10:18">
      <c r="J2661" s="4">
        <v>2719</v>
      </c>
      <c r="K2661" s="21" t="str">
        <f>HYPERLINK("obsidian://open?vault=o2&amp;file=%F0%9F%93%8C%20PC%20Maintenance.md","📌 PC Maintenance")</f>
        <v>📌 PC Maintenance</v>
      </c>
      <c r="L2661" s="20" t="s">
        <v>175</v>
      </c>
      <c r="M2661" s="4"/>
      <c r="N2661" s="2" t="s">
        <v>47</v>
      </c>
      <c r="O2661" s="2"/>
      <c r="P2661" s="4">
        <v>1</v>
      </c>
      <c r="Q2661" s="2" t="s">
        <v>671</v>
      </c>
      <c r="R2661" s="11">
        <f>SUBTOTAL(3,_xlfn.SINGLE(tbl_file[RowId]))</f>
        <v>1</v>
      </c>
    </row>
    <row r="2662" spans="10:18">
      <c r="J2662" s="4">
        <v>2720</v>
      </c>
      <c r="K2662" s="21" t="str">
        <f>HYPERLINK("obsidian://open?vault=o2&amp;file=%F0%9F%93%8C%20PC%20Maintenance.md","📌 PC Maintenance")</f>
        <v>📌 PC Maintenance</v>
      </c>
      <c r="L2662" s="20" t="s">
        <v>175</v>
      </c>
      <c r="M2662" s="4"/>
      <c r="N2662" s="2" t="s">
        <v>2606</v>
      </c>
      <c r="O2662" s="2"/>
      <c r="P2662" s="4">
        <v>1</v>
      </c>
      <c r="Q2662" s="2" t="s">
        <v>2387</v>
      </c>
      <c r="R2662" s="11">
        <f>SUBTOTAL(3,_xlfn.SINGLE(tbl_file[RowId]))</f>
        <v>1</v>
      </c>
    </row>
    <row r="2663" spans="10:18">
      <c r="J2663" s="4">
        <v>2721</v>
      </c>
      <c r="K2663" s="21" t="str">
        <f>HYPERLINK("obsidian://open?vault=o2&amp;file=%F0%9F%93%8C%20Print%20On%20Demand%20Kanban.md","📌 Print On Demand Kanban")</f>
        <v>📌 Print On Demand Kanban</v>
      </c>
      <c r="L2663" s="20" t="s">
        <v>175</v>
      </c>
      <c r="M2663" s="4"/>
      <c r="N2663" s="2" t="s">
        <v>47</v>
      </c>
      <c r="O2663" s="2"/>
      <c r="P2663" s="4">
        <v>1</v>
      </c>
      <c r="Q2663" s="2" t="s">
        <v>669</v>
      </c>
      <c r="R2663" s="11">
        <f>SUBTOTAL(3,_xlfn.SINGLE(tbl_file[RowId]))</f>
        <v>1</v>
      </c>
    </row>
    <row r="2664" spans="10:18">
      <c r="J2664" s="4">
        <v>2722</v>
      </c>
      <c r="K2664" s="21" t="str">
        <f>HYPERLINK("obsidian://open?vault=o2&amp;file=%F0%9F%93%8C%20Print%20On%20Demand%20Kanban.md","📌 Print On Demand Kanban")</f>
        <v>📌 Print On Demand Kanban</v>
      </c>
      <c r="L2664" s="20" t="s">
        <v>175</v>
      </c>
      <c r="M2664" s="4"/>
      <c r="N2664" s="2" t="s">
        <v>123</v>
      </c>
      <c r="O2664" s="2"/>
      <c r="P2664" s="4">
        <v>1</v>
      </c>
      <c r="Q2664" s="2" t="s">
        <v>1492</v>
      </c>
      <c r="R2664" s="11">
        <f>SUBTOTAL(3,_xlfn.SINGLE(tbl_file[RowId]))</f>
        <v>1</v>
      </c>
    </row>
    <row r="2665" spans="10:18">
      <c r="J2665" s="4">
        <v>2723</v>
      </c>
      <c r="K2665" s="21" t="str">
        <f>HYPERLINK("obsidian://open?vault=o2&amp;file=%F0%9F%93%8C%20Print%20On%20Demand%20Kanban.md","📌 Print On Demand Kanban")</f>
        <v>📌 Print On Demand Kanban</v>
      </c>
      <c r="L2665" s="20" t="s">
        <v>175</v>
      </c>
      <c r="M2665" s="4"/>
      <c r="N2665" s="2" t="s">
        <v>2606</v>
      </c>
      <c r="O2665" s="2"/>
      <c r="P2665" s="4">
        <v>1</v>
      </c>
      <c r="Q2665" s="2" t="s">
        <v>2387</v>
      </c>
      <c r="R2665" s="11">
        <f>SUBTOTAL(3,_xlfn.SINGLE(tbl_file[RowId]))</f>
        <v>1</v>
      </c>
    </row>
    <row r="2666" spans="10:18">
      <c r="J2666" s="4">
        <v>2724</v>
      </c>
      <c r="K2666" s="21" t="str">
        <f>HYPERLINK("obsidian://open?vault=o2&amp;file=%F0%9F%93%8C%20Print%20On%20Demand%20Kanban.md","📌 Print On Demand Kanban")</f>
        <v>📌 Print On Demand Kanban</v>
      </c>
      <c r="L2666" s="20" t="s">
        <v>175</v>
      </c>
      <c r="M2666" s="4"/>
      <c r="N2666" s="2" t="s">
        <v>133</v>
      </c>
      <c r="O2666" s="2"/>
      <c r="P2666" s="4">
        <v>1</v>
      </c>
      <c r="Q2666" s="2" t="s">
        <v>2113</v>
      </c>
      <c r="R2666" s="11">
        <f>SUBTOTAL(3,_xlfn.SINGLE(tbl_file[RowId]))</f>
        <v>1</v>
      </c>
    </row>
    <row r="2667" spans="10:18">
      <c r="J2667" s="4">
        <v>2725</v>
      </c>
      <c r="K2667" s="21" t="str">
        <f>HYPERLINK("obsidian://open?vault=o2&amp;file=%F0%9F%93%8C%20Print%20On%20Demand%20Kanban.md","📌 Print On Demand Kanban")</f>
        <v>📌 Print On Demand Kanban</v>
      </c>
      <c r="L2667" s="20" t="s">
        <v>175</v>
      </c>
      <c r="M2667" s="4"/>
      <c r="N2667" s="2" t="s">
        <v>135</v>
      </c>
      <c r="O2667" s="2"/>
      <c r="P2667" s="4">
        <v>1</v>
      </c>
      <c r="Q2667" s="2" t="s">
        <v>1494</v>
      </c>
      <c r="R2667" s="11">
        <f>SUBTOTAL(3,_xlfn.SINGLE(tbl_file[RowId]))</f>
        <v>1</v>
      </c>
    </row>
    <row r="2668" spans="10:18">
      <c r="J2668" s="4">
        <v>2726</v>
      </c>
      <c r="K2668" s="21" t="str">
        <f>HYPERLINK("obsidian://open?vault=o2&amp;file=%F0%9F%93%8C%20Rebuild%20PC%20Kanban.md","📌 Rebuild PC Kanban")</f>
        <v>📌 Rebuild PC Kanban</v>
      </c>
      <c r="L2668" s="20" t="s">
        <v>175</v>
      </c>
      <c r="M2668" s="4"/>
      <c r="N2668" s="2" t="s">
        <v>12</v>
      </c>
      <c r="O2668" s="2"/>
      <c r="P2668" s="4">
        <v>1</v>
      </c>
      <c r="Q2668" s="2" t="s">
        <v>272</v>
      </c>
      <c r="R2668" s="11">
        <f>SUBTOTAL(3,_xlfn.SINGLE(tbl_file[RowId]))</f>
        <v>1</v>
      </c>
    </row>
    <row r="2669" spans="10:18">
      <c r="J2669" s="4">
        <v>2727</v>
      </c>
      <c r="K2669" s="21" t="str">
        <f>HYPERLINK("obsidian://open?vault=o2&amp;file=%F0%9F%93%8C%20Rebuild%20PC%20Kanban.md","📌 Rebuild PC Kanban")</f>
        <v>📌 Rebuild PC Kanban</v>
      </c>
      <c r="L2669" s="20" t="s">
        <v>175</v>
      </c>
      <c r="M2669" s="4"/>
      <c r="N2669" s="2" t="s">
        <v>47</v>
      </c>
      <c r="O2669" s="2"/>
      <c r="P2669" s="4">
        <v>1</v>
      </c>
      <c r="Q2669" s="2" t="s">
        <v>671</v>
      </c>
      <c r="R2669" s="11">
        <f>SUBTOTAL(3,_xlfn.SINGLE(tbl_file[RowId]))</f>
        <v>1</v>
      </c>
    </row>
    <row r="2670" spans="10:18">
      <c r="J2670" s="4">
        <v>2728</v>
      </c>
      <c r="K2670" s="21" t="str">
        <f>HYPERLINK("obsidian://open?vault=o2&amp;file=%F0%9F%93%8C%20Rebuild%20PC%20Kanban.md","📌 Rebuild PC Kanban")</f>
        <v>📌 Rebuild PC Kanban</v>
      </c>
      <c r="L2670" s="20" t="s">
        <v>175</v>
      </c>
      <c r="M2670" s="4"/>
      <c r="N2670" s="2" t="s">
        <v>2606</v>
      </c>
      <c r="O2670" s="2"/>
      <c r="P2670" s="4">
        <v>1</v>
      </c>
      <c r="Q2670" s="2" t="s">
        <v>2387</v>
      </c>
      <c r="R2670" s="11">
        <f>SUBTOTAL(3,_xlfn.SINGLE(tbl_file[RowId]))</f>
        <v>1</v>
      </c>
    </row>
    <row r="2671" spans="10:18">
      <c r="J2671" s="4">
        <v>2729</v>
      </c>
      <c r="K2671" s="21" t="str">
        <f>HYPERLINK("obsidian://open?vault=o2&amp;file=%F0%9F%93%8C%20Recipe%20Database%20and%20Cookbook.md","📌 Recipe Database and Cookbook")</f>
        <v>📌 Recipe Database and Cookbook</v>
      </c>
      <c r="L2671" s="20" t="s">
        <v>175</v>
      </c>
      <c r="M2671" s="4"/>
      <c r="N2671" s="2" t="s">
        <v>47</v>
      </c>
      <c r="O2671" s="2"/>
      <c r="P2671" s="4">
        <v>1</v>
      </c>
      <c r="Q2671" s="2" t="s">
        <v>669</v>
      </c>
      <c r="R2671" s="11">
        <f>SUBTOTAL(3,_xlfn.SINGLE(tbl_file[RowId]))</f>
        <v>1</v>
      </c>
    </row>
    <row r="2672" spans="10:18">
      <c r="J2672" s="4">
        <v>2730</v>
      </c>
      <c r="K2672" s="21" t="str">
        <f>HYPERLINK("obsidian://open?vault=o2&amp;file=%F0%9F%93%8C%20Recipe%20Database%20and%20Cookbook.md","📌 Recipe Database and Cookbook")</f>
        <v>📌 Recipe Database and Cookbook</v>
      </c>
      <c r="L2672" s="20" t="s">
        <v>175</v>
      </c>
      <c r="M2672" s="4"/>
      <c r="N2672" s="2" t="s">
        <v>123</v>
      </c>
      <c r="O2672" s="2"/>
      <c r="P2672" s="4">
        <v>1</v>
      </c>
      <c r="Q2672" s="2" t="s">
        <v>1492</v>
      </c>
      <c r="R2672" s="11">
        <f>SUBTOTAL(3,_xlfn.SINGLE(tbl_file[RowId]))</f>
        <v>1</v>
      </c>
    </row>
    <row r="2673" spans="10:18">
      <c r="J2673" s="4">
        <v>2731</v>
      </c>
      <c r="K2673" s="21" t="str">
        <f>HYPERLINK("obsidian://open?vault=o2&amp;file=%F0%9F%93%8C%20Recipe%20Database%20and%20Cookbook.md","📌 Recipe Database and Cookbook")</f>
        <v>📌 Recipe Database and Cookbook</v>
      </c>
      <c r="L2673" s="20" t="s">
        <v>175</v>
      </c>
      <c r="M2673" s="4"/>
      <c r="N2673" s="2" t="s">
        <v>2606</v>
      </c>
      <c r="O2673" s="2"/>
      <c r="P2673" s="4">
        <v>1</v>
      </c>
      <c r="Q2673" s="2" t="s">
        <v>2387</v>
      </c>
      <c r="R2673" s="11">
        <f>SUBTOTAL(3,_xlfn.SINGLE(tbl_file[RowId]))</f>
        <v>1</v>
      </c>
    </row>
    <row r="2674" spans="10:18">
      <c r="J2674" s="4">
        <v>2732</v>
      </c>
      <c r="K2674" s="21" t="str">
        <f>HYPERLINK("obsidian://open?vault=o2&amp;file=%F0%9F%93%8C%20Recipe%20Database%20and%20Cookbook.md","📌 Recipe Database and Cookbook")</f>
        <v>📌 Recipe Database and Cookbook</v>
      </c>
      <c r="L2674" s="20" t="s">
        <v>175</v>
      </c>
      <c r="M2674" s="4"/>
      <c r="N2674" s="2" t="s">
        <v>133</v>
      </c>
      <c r="O2674" s="2"/>
      <c r="P2674" s="4">
        <v>1</v>
      </c>
      <c r="Q2674" s="2" t="s">
        <v>2113</v>
      </c>
      <c r="R2674" s="11">
        <f>SUBTOTAL(3,_xlfn.SINGLE(tbl_file[RowId]))</f>
        <v>1</v>
      </c>
    </row>
    <row r="2675" spans="10:18">
      <c r="J2675" s="4">
        <v>2733</v>
      </c>
      <c r="K2675" s="21" t="str">
        <f>HYPERLINK("obsidian://open?vault=o2&amp;file=%F0%9F%93%8C%20Recipe%20Database%20and%20Cookbook.md","📌 Recipe Database and Cookbook")</f>
        <v>📌 Recipe Database and Cookbook</v>
      </c>
      <c r="L2675" s="20" t="s">
        <v>175</v>
      </c>
      <c r="M2675" s="4"/>
      <c r="N2675" s="2" t="s">
        <v>135</v>
      </c>
      <c r="O2675" s="2"/>
      <c r="P2675" s="4">
        <v>1</v>
      </c>
      <c r="Q2675" s="2" t="s">
        <v>1494</v>
      </c>
      <c r="R2675" s="11">
        <f>SUBTOTAL(3,_xlfn.SINGLE(tbl_file[RowId]))</f>
        <v>1</v>
      </c>
    </row>
    <row r="2676" spans="10:18">
      <c r="J2676" s="4">
        <v>2734</v>
      </c>
      <c r="K2676" s="21" t="str">
        <f>HYPERLINK("obsidian://open?vault=o2&amp;file=%F0%9F%93%8C%20Recovery%20Kanban.md","📌 Recovery Kanban")</f>
        <v>📌 Recovery Kanban</v>
      </c>
      <c r="L2676" s="20" t="s">
        <v>175</v>
      </c>
      <c r="M2676" s="4"/>
      <c r="N2676" s="2" t="s">
        <v>47</v>
      </c>
      <c r="O2676" s="2"/>
      <c r="P2676" s="4">
        <v>1</v>
      </c>
      <c r="Q2676" s="2" t="s">
        <v>671</v>
      </c>
      <c r="R2676" s="11">
        <f>SUBTOTAL(3,_xlfn.SINGLE(tbl_file[RowId]))</f>
        <v>1</v>
      </c>
    </row>
    <row r="2677" spans="10:18">
      <c r="J2677" s="4">
        <v>2735</v>
      </c>
      <c r="K2677" s="21" t="str">
        <f>HYPERLINK("obsidian://open?vault=o2&amp;file=%F0%9F%93%8C%20Recovery%20Kanban.md","📌 Recovery Kanban")</f>
        <v>📌 Recovery Kanban</v>
      </c>
      <c r="L2677" s="20" t="s">
        <v>175</v>
      </c>
      <c r="M2677" s="4"/>
      <c r="N2677" s="2" t="s">
        <v>2606</v>
      </c>
      <c r="O2677" s="2"/>
      <c r="P2677" s="4">
        <v>1</v>
      </c>
      <c r="Q2677" s="2" t="s">
        <v>2387</v>
      </c>
      <c r="R2677" s="11">
        <f>SUBTOTAL(3,_xlfn.SINGLE(tbl_file[RowId]))</f>
        <v>1</v>
      </c>
    </row>
    <row r="2678" spans="10:18">
      <c r="J2678" s="4">
        <v>181</v>
      </c>
      <c r="K2678" s="21" t="str">
        <f>HYPERLINK("obsidian://open?vault=o2&amp;file=%F0%9F%93%8C%20Sell%20House-Move.md","📌 Sell House-Move")</f>
        <v>📌 Sell House-Move</v>
      </c>
      <c r="L2678" s="20" t="s">
        <v>175</v>
      </c>
      <c r="M2678" s="4"/>
      <c r="N2678" s="2" t="s">
        <v>47</v>
      </c>
      <c r="O2678" s="2"/>
      <c r="P2678" s="4">
        <v>1</v>
      </c>
      <c r="Q2678" s="2" t="s">
        <v>669</v>
      </c>
      <c r="R2678" s="11">
        <f>SUBTOTAL(3,_xlfn.SINGLE(tbl_file[RowId]))</f>
        <v>1</v>
      </c>
    </row>
    <row r="2679" spans="10:18">
      <c r="J2679" s="4">
        <v>182</v>
      </c>
      <c r="K2679" s="21" t="str">
        <f>HYPERLINK("obsidian://open?vault=o2&amp;file=%F0%9F%93%8C%20Sell%20House-Move.md","📌 Sell House-Move")</f>
        <v>📌 Sell House-Move</v>
      </c>
      <c r="L2679" s="20" t="s">
        <v>175</v>
      </c>
      <c r="M2679" s="4"/>
      <c r="N2679" s="2" t="s">
        <v>123</v>
      </c>
      <c r="O2679" s="2"/>
      <c r="P2679" s="4">
        <v>1</v>
      </c>
      <c r="Q2679" s="2" t="s">
        <v>1492</v>
      </c>
      <c r="R2679" s="11">
        <f>SUBTOTAL(3,_xlfn.SINGLE(tbl_file[RowId]))</f>
        <v>1</v>
      </c>
    </row>
    <row r="2680" spans="10:18">
      <c r="J2680" s="4">
        <v>183</v>
      </c>
      <c r="K2680" s="21" t="str">
        <f>HYPERLINK("obsidian://open?vault=o2&amp;file=%F0%9F%93%8C%20Sell%20House-Move.md","📌 Sell House-Move")</f>
        <v>📌 Sell House-Move</v>
      </c>
      <c r="L2680" s="20" t="s">
        <v>175</v>
      </c>
      <c r="M2680" s="4"/>
      <c r="N2680" s="2" t="s">
        <v>2606</v>
      </c>
      <c r="O2680" s="2"/>
      <c r="P2680" s="4">
        <v>1</v>
      </c>
      <c r="Q2680" s="2" t="s">
        <v>2387</v>
      </c>
      <c r="R2680" s="11">
        <f>SUBTOTAL(3,_xlfn.SINGLE(tbl_file[RowId]))</f>
        <v>1</v>
      </c>
    </row>
    <row r="2681" spans="10:18">
      <c r="J2681" s="4">
        <v>184</v>
      </c>
      <c r="K2681" s="21" t="str">
        <f>HYPERLINK("obsidian://open?vault=o2&amp;file=%F0%9F%93%8C%20Sell%20House-Move.md","📌 Sell House-Move")</f>
        <v>📌 Sell House-Move</v>
      </c>
      <c r="L2681" s="20" t="s">
        <v>175</v>
      </c>
      <c r="M2681" s="4"/>
      <c r="N2681" s="2" t="s">
        <v>133</v>
      </c>
      <c r="O2681" s="2"/>
      <c r="P2681" s="4">
        <v>1</v>
      </c>
      <c r="Q2681" s="2" t="s">
        <v>2113</v>
      </c>
      <c r="R2681" s="11">
        <f>SUBTOTAL(3,_xlfn.SINGLE(tbl_file[RowId]))</f>
        <v>1</v>
      </c>
    </row>
    <row r="2682" spans="10:18">
      <c r="J2682" s="4">
        <v>185</v>
      </c>
      <c r="K2682" s="21" t="str">
        <f>HYPERLINK("obsidian://open?vault=o2&amp;file=%F0%9F%93%8C%20Sell%20House-Move.md","📌 Sell House-Move")</f>
        <v>📌 Sell House-Move</v>
      </c>
      <c r="L2682" s="20" t="s">
        <v>175</v>
      </c>
      <c r="M2682" s="4"/>
      <c r="N2682" s="2" t="s">
        <v>135</v>
      </c>
      <c r="O2682" s="2"/>
      <c r="P2682" s="4">
        <v>1</v>
      </c>
      <c r="Q2682" s="2" t="s">
        <v>1494</v>
      </c>
      <c r="R2682" s="11">
        <f>SUBTOTAL(3,_xlfn.SINGLE(tbl_file[RowId]))</f>
        <v>1</v>
      </c>
    </row>
    <row r="2683" spans="10:18">
      <c r="J2683" s="4">
        <v>2736</v>
      </c>
      <c r="K2683" s="21" t="str">
        <f>HYPERLINK("obsidian://open?vault=o2&amp;file=%F0%9F%93%8C%20Setup%20Linode%20Server%20Kanban.md","📌 Setup Linode Server Kanban")</f>
        <v>📌 Setup Linode Server Kanban</v>
      </c>
      <c r="L2683" s="20" t="s">
        <v>175</v>
      </c>
      <c r="M2683" s="4"/>
      <c r="N2683" s="2" t="s">
        <v>47</v>
      </c>
      <c r="O2683" s="2"/>
      <c r="P2683" s="4">
        <v>1</v>
      </c>
      <c r="Q2683" s="2" t="s">
        <v>669</v>
      </c>
      <c r="R2683" s="11">
        <f>SUBTOTAL(3,_xlfn.SINGLE(tbl_file[RowId]))</f>
        <v>1</v>
      </c>
    </row>
    <row r="2684" spans="10:18">
      <c r="J2684" s="4">
        <v>2737</v>
      </c>
      <c r="K2684" s="21" t="str">
        <f>HYPERLINK("obsidian://open?vault=o2&amp;file=%F0%9F%93%8C%20Setup%20Linode%20Server%20Kanban.md","📌 Setup Linode Server Kanban")</f>
        <v>📌 Setup Linode Server Kanban</v>
      </c>
      <c r="L2684" s="20" t="s">
        <v>175</v>
      </c>
      <c r="M2684" s="4"/>
      <c r="N2684" s="2" t="s">
        <v>123</v>
      </c>
      <c r="O2684" s="2"/>
      <c r="P2684" s="4">
        <v>1</v>
      </c>
      <c r="Q2684" s="2" t="s">
        <v>1492</v>
      </c>
      <c r="R2684" s="11">
        <f>SUBTOTAL(3,_xlfn.SINGLE(tbl_file[RowId]))</f>
        <v>1</v>
      </c>
    </row>
    <row r="2685" spans="10:18">
      <c r="J2685" s="4">
        <v>2738</v>
      </c>
      <c r="K2685" s="21" t="str">
        <f>HYPERLINK("obsidian://open?vault=o2&amp;file=%F0%9F%93%8C%20Setup%20Linode%20Server%20Kanban.md","📌 Setup Linode Server Kanban")</f>
        <v>📌 Setup Linode Server Kanban</v>
      </c>
      <c r="L2685" s="20" t="s">
        <v>175</v>
      </c>
      <c r="M2685" s="4"/>
      <c r="N2685" s="2" t="s">
        <v>2606</v>
      </c>
      <c r="O2685" s="2"/>
      <c r="P2685" s="4">
        <v>1</v>
      </c>
      <c r="Q2685" s="2" t="s">
        <v>2387</v>
      </c>
      <c r="R2685" s="11">
        <f>SUBTOTAL(3,_xlfn.SINGLE(tbl_file[RowId]))</f>
        <v>1</v>
      </c>
    </row>
    <row r="2686" spans="10:18">
      <c r="J2686" s="4">
        <v>2739</v>
      </c>
      <c r="K2686" s="21" t="str">
        <f>HYPERLINK("obsidian://open?vault=o2&amp;file=%F0%9F%93%8C%20Setup%20Linode%20Server%20Kanban.md","📌 Setup Linode Server Kanban")</f>
        <v>📌 Setup Linode Server Kanban</v>
      </c>
      <c r="L2686" s="20" t="s">
        <v>175</v>
      </c>
      <c r="M2686" s="4"/>
      <c r="N2686" s="2" t="s">
        <v>133</v>
      </c>
      <c r="O2686" s="2"/>
      <c r="P2686" s="4">
        <v>1</v>
      </c>
      <c r="Q2686" s="2" t="s">
        <v>2113</v>
      </c>
      <c r="R2686" s="11">
        <f>SUBTOTAL(3,_xlfn.SINGLE(tbl_file[RowId]))</f>
        <v>1</v>
      </c>
    </row>
    <row r="2687" spans="10:18">
      <c r="J2687" s="4">
        <v>2740</v>
      </c>
      <c r="K2687" s="21" t="str">
        <f>HYPERLINK("obsidian://open?vault=o2&amp;file=%F0%9F%93%8C%20Setup%20Linode%20Server%20Kanban.md","📌 Setup Linode Server Kanban")</f>
        <v>📌 Setup Linode Server Kanban</v>
      </c>
      <c r="L2687" s="20" t="s">
        <v>175</v>
      </c>
      <c r="M2687" s="4"/>
      <c r="N2687" s="2" t="s">
        <v>135</v>
      </c>
      <c r="O2687" s="2"/>
      <c r="P2687" s="4">
        <v>1</v>
      </c>
      <c r="Q2687" s="2" t="s">
        <v>1494</v>
      </c>
      <c r="R2687" s="11">
        <f>SUBTOTAL(3,_xlfn.SINGLE(tbl_file[RowId]))</f>
        <v>1</v>
      </c>
    </row>
    <row r="2688" spans="10:18">
      <c r="J2688" s="4">
        <v>2742</v>
      </c>
      <c r="K2688" s="21" t="str">
        <f>HYPERLINK("obsidian://open?vault=o2&amp;file=%F0%9F%93%9A%20How%20To%20Take%20Smart%20Notes.md","📚 How To Take Smart Notes")</f>
        <v>📚 How To Take Smart Notes</v>
      </c>
      <c r="L2688" s="20" t="s">
        <v>175</v>
      </c>
      <c r="M2688" s="4"/>
      <c r="N2688" s="2" t="s">
        <v>43</v>
      </c>
      <c r="O2688" s="2"/>
      <c r="P2688" s="4">
        <v>1</v>
      </c>
      <c r="Q2688" s="2" t="s">
        <v>3267</v>
      </c>
      <c r="R2688" s="11">
        <f>SUBTOTAL(3,_xlfn.SINGLE(tbl_file[RowId]))</f>
        <v>1</v>
      </c>
    </row>
    <row r="2689" spans="10:18">
      <c r="J2689" s="4">
        <v>2743</v>
      </c>
      <c r="K2689" s="21" t="str">
        <f>HYPERLINK("obsidian://open?vault=o2&amp;file=%F0%9F%93%9A%20How%20To%20Take%20Smart%20Notes.md","📚 How To Take Smart Notes")</f>
        <v>📚 How To Take Smart Notes</v>
      </c>
      <c r="L2689" s="20" t="s">
        <v>175</v>
      </c>
      <c r="M2689" s="4"/>
      <c r="N2689" s="2" t="s">
        <v>121</v>
      </c>
      <c r="O2689" s="2"/>
      <c r="P2689" s="4">
        <v>1</v>
      </c>
      <c r="Q2689" s="2" t="s">
        <v>3268</v>
      </c>
      <c r="R2689" s="11">
        <f>SUBTOTAL(3,_xlfn.SINGLE(tbl_file[RowId]))</f>
        <v>1</v>
      </c>
    </row>
    <row r="2690" spans="10:18">
      <c r="J2690" s="4">
        <v>2744</v>
      </c>
      <c r="K2690" s="21" t="str">
        <f>HYPERLINK("obsidian://open?vault=o2&amp;file=%F0%9F%93%9A%20How%20To%20Take%20Smart%20Notes.md","📚 How To Take Smart Notes")</f>
        <v>📚 How To Take Smart Notes</v>
      </c>
      <c r="L2690" s="20" t="s">
        <v>175</v>
      </c>
      <c r="M2690" s="4"/>
      <c r="N2690" s="2" t="s">
        <v>126</v>
      </c>
      <c r="O2690" s="2"/>
      <c r="P2690" s="4">
        <v>1</v>
      </c>
      <c r="Q2690" s="2" t="s">
        <v>3269</v>
      </c>
      <c r="R2690" s="11">
        <f>SUBTOTAL(3,_xlfn.SINGLE(tbl_file[RowId]))</f>
        <v>1</v>
      </c>
    </row>
    <row r="2691" spans="10:18">
      <c r="J2691" s="4">
        <v>2745</v>
      </c>
      <c r="K2691" s="21" t="str">
        <f>HYPERLINK("obsidian://open?vault=o2&amp;file=%F0%9F%93%9A%20How%20To%20Take%20Smart%20Notes.md","📚 How To Take Smart Notes")</f>
        <v>📚 How To Take Smart Notes</v>
      </c>
      <c r="L2691" s="20" t="s">
        <v>175</v>
      </c>
      <c r="M2691" s="4" t="s">
        <v>2626</v>
      </c>
      <c r="N2691" s="2" t="s">
        <v>2606</v>
      </c>
      <c r="O2691" s="2"/>
      <c r="P2691" s="4">
        <v>2</v>
      </c>
      <c r="Q2691" s="2" t="s">
        <v>3270</v>
      </c>
      <c r="R2691" s="11">
        <f>SUBTOTAL(3,_xlfn.SINGLE(tbl_file[RowId]))</f>
        <v>1</v>
      </c>
    </row>
    <row r="2692" spans="10:18">
      <c r="J2692" s="4">
        <v>2741</v>
      </c>
      <c r="K2692" s="21" t="str">
        <f>HYPERLINK("obsidian://open?vault=o2&amp;file=%F0%9F%93%9A%20How%20To%20Take%20Smart%20Notes%20Application.md","📚 How To Take Smart Notes Application")</f>
        <v>📚 How To Take Smart Notes Application</v>
      </c>
      <c r="L2692" s="20" t="s">
        <v>175</v>
      </c>
      <c r="M2692" s="4"/>
      <c r="N2692" s="2" t="s">
        <v>2606</v>
      </c>
      <c r="O2692" s="2"/>
      <c r="P2692" s="4">
        <v>1</v>
      </c>
      <c r="Q2692" s="2" t="s">
        <v>2555</v>
      </c>
      <c r="R2692" s="11">
        <f>SUBTOTAL(3,_xlfn.SINGLE(tbl_file[RowId]))</f>
        <v>1</v>
      </c>
    </row>
    <row r="2693" spans="10:18">
      <c r="J2693" s="4">
        <v>2747</v>
      </c>
      <c r="K2693" s="21" t="str">
        <f>HYPERLINK("obsidian://open?vault=o2&amp;file=%F0%9F%93%9A%20Johns%20Building%20a%20Second%20Brain.md","📚 Johns Building a Second Brain")</f>
        <v>📚 Johns Building a Second Brain</v>
      </c>
      <c r="L2693" s="20" t="s">
        <v>175</v>
      </c>
      <c r="M2693" s="4"/>
      <c r="N2693" s="2" t="s">
        <v>43</v>
      </c>
      <c r="O2693" s="2"/>
      <c r="P2693" s="4">
        <v>1</v>
      </c>
      <c r="Q2693" s="2" t="s">
        <v>3271</v>
      </c>
      <c r="R2693" s="11">
        <f>SUBTOTAL(3,_xlfn.SINGLE(tbl_file[RowId]))</f>
        <v>1</v>
      </c>
    </row>
    <row r="2694" spans="10:18">
      <c r="J2694" s="4">
        <v>2748</v>
      </c>
      <c r="K2694" s="21" t="str">
        <f>HYPERLINK("obsidian://open?vault=o2&amp;file=%F0%9F%93%9A%20Johns%20Building%20a%20Second%20Brain.md","📚 Johns Building a Second Brain")</f>
        <v>📚 Johns Building a Second Brain</v>
      </c>
      <c r="L2694" s="20" t="s">
        <v>175</v>
      </c>
      <c r="M2694" s="4"/>
      <c r="N2694" s="2" t="s">
        <v>121</v>
      </c>
      <c r="O2694" s="2"/>
      <c r="P2694" s="4">
        <v>1</v>
      </c>
      <c r="Q2694" s="2" t="s">
        <v>3268</v>
      </c>
      <c r="R2694" s="11">
        <f>SUBTOTAL(3,_xlfn.SINGLE(tbl_file[RowId]))</f>
        <v>1</v>
      </c>
    </row>
    <row r="2695" spans="10:18">
      <c r="J2695" s="4">
        <v>2749</v>
      </c>
      <c r="K2695" s="21" t="str">
        <f>HYPERLINK("obsidian://open?vault=o2&amp;file=%F0%9F%93%9A%20Johns%20Building%20a%20Second%20Brain.md","📚 Johns Building a Second Brain")</f>
        <v>📚 Johns Building a Second Brain</v>
      </c>
      <c r="L2695" s="20" t="s">
        <v>175</v>
      </c>
      <c r="M2695" s="4"/>
      <c r="N2695" s="2" t="s">
        <v>126</v>
      </c>
      <c r="O2695" s="2"/>
      <c r="P2695" s="4">
        <v>1</v>
      </c>
      <c r="Q2695" s="2" t="s">
        <v>3272</v>
      </c>
      <c r="R2695" s="11">
        <f>SUBTOTAL(3,_xlfn.SINGLE(tbl_file[RowId]))</f>
        <v>1</v>
      </c>
    </row>
    <row r="2696" spans="10:18">
      <c r="J2696" s="4">
        <v>2750</v>
      </c>
      <c r="K2696" s="21" t="str">
        <f>HYPERLINK("obsidian://open?vault=o2&amp;file=%F0%9F%93%9A%20Johns%20Building%20a%20Second%20Brain.md","📚 Johns Building a Second Brain")</f>
        <v>📚 Johns Building a Second Brain</v>
      </c>
      <c r="L2696" s="20" t="s">
        <v>175</v>
      </c>
      <c r="M2696" s="4" t="s">
        <v>2626</v>
      </c>
      <c r="N2696" s="2" t="s">
        <v>2606</v>
      </c>
      <c r="O2696" s="2"/>
      <c r="P2696" s="4">
        <v>1</v>
      </c>
      <c r="Q2696" s="2" t="s">
        <v>2371</v>
      </c>
      <c r="R2696" s="11">
        <f>SUBTOTAL(3,_xlfn.SINGLE(tbl_file[RowId]))</f>
        <v>1</v>
      </c>
    </row>
    <row r="2697" spans="10:18">
      <c r="J2697" s="4">
        <v>2746</v>
      </c>
      <c r="K2697" s="21" t="str">
        <f>HYPERLINK("obsidian://open?vault=o2&amp;file=%F0%9F%93%9A%20Johns%20Building%20a%20Second%20Brain%20Application.md","📚 Johns Building a Second Brain Application")</f>
        <v>📚 Johns Building a Second Brain Application</v>
      </c>
      <c r="L2697" s="20" t="s">
        <v>175</v>
      </c>
      <c r="M2697" s="4"/>
      <c r="N2697" s="2" t="s">
        <v>2606</v>
      </c>
      <c r="O2697" s="2"/>
      <c r="P2697" s="4">
        <v>1</v>
      </c>
      <c r="Q2697" s="2" t="s">
        <v>2555</v>
      </c>
      <c r="R2697" s="11">
        <f>SUBTOTAL(3,_xlfn.SINGLE(tbl_file[RowId]))</f>
        <v>1</v>
      </c>
    </row>
    <row r="2698" spans="10:18">
      <c r="J2698" s="4">
        <v>2751</v>
      </c>
      <c r="K2698" s="21" t="str">
        <f>HYPERLINK("obsidian://open?vault=o2&amp;file=%F0%9F%93%9A%20My%20Books.md","📚 My Books")</f>
        <v>📚 My Books</v>
      </c>
      <c r="L2698" s="20" t="s">
        <v>175</v>
      </c>
      <c r="M2698" s="4"/>
      <c r="N2698" s="2" t="s">
        <v>50</v>
      </c>
      <c r="O2698" s="2"/>
      <c r="P2698" s="4">
        <v>1</v>
      </c>
      <c r="Q2698" s="2" t="s">
        <v>1582</v>
      </c>
      <c r="R2698" s="11">
        <f>SUBTOTAL(3,_xlfn.SINGLE(tbl_file[RowId]))</f>
        <v>1</v>
      </c>
    </row>
    <row r="2699" spans="10:18">
      <c r="J2699" s="4">
        <v>2752</v>
      </c>
      <c r="K2699" s="21" t="str">
        <f>HYPERLINK("obsidian://open?vault=o2&amp;file=%F0%9F%93%9A%20My%20Books.md","📚 My Books")</f>
        <v>📚 My Books</v>
      </c>
      <c r="L2699" s="20" t="s">
        <v>175</v>
      </c>
      <c r="M2699" s="4"/>
      <c r="N2699" s="2" t="s">
        <v>2606</v>
      </c>
      <c r="O2699" s="2"/>
      <c r="P2699" s="4">
        <v>1</v>
      </c>
      <c r="Q2699" s="2" t="s">
        <v>2575</v>
      </c>
      <c r="R2699" s="11">
        <f>SUBTOTAL(3,_xlfn.SINGLE(tbl_file[RowId]))</f>
        <v>1</v>
      </c>
    </row>
    <row r="2700" spans="10:18">
      <c r="J2700" s="4">
        <v>2753</v>
      </c>
      <c r="K2700" s="21" t="str">
        <f t="shared" ref="K2700:K2709" si="105">HYPERLINK("obsidian://open?vault=o2&amp;file=%F0%9F%93%A5%20Konik%20Method%20for%20Making%20Useful%20Notes.md","📥 Konik Method for Making Useful Notes")</f>
        <v>📥 Konik Method for Making Useful Notes</v>
      </c>
      <c r="L2700" s="20" t="s">
        <v>175</v>
      </c>
      <c r="M2700" s="4"/>
      <c r="N2700" s="2" t="s">
        <v>13</v>
      </c>
      <c r="O2700" s="2"/>
      <c r="P2700" s="4">
        <v>1</v>
      </c>
      <c r="Q2700" s="2" t="s">
        <v>338</v>
      </c>
      <c r="R2700" s="11">
        <f>SUBTOTAL(3,_xlfn.SINGLE(tbl_file[RowId]))</f>
        <v>1</v>
      </c>
    </row>
    <row r="2701" spans="10:18">
      <c r="J2701" s="4">
        <v>2754</v>
      </c>
      <c r="K2701" s="21" t="str">
        <f t="shared" si="105"/>
        <v>📥 Konik Method for Making Useful Notes</v>
      </c>
      <c r="L2701" s="20" t="s">
        <v>175</v>
      </c>
      <c r="M2701" s="4"/>
      <c r="N2701" s="2" t="s">
        <v>43</v>
      </c>
      <c r="O2701" s="2"/>
      <c r="P2701" s="4">
        <v>1</v>
      </c>
      <c r="Q2701" s="2" t="s">
        <v>3099</v>
      </c>
      <c r="R2701" s="11">
        <f>SUBTOTAL(3,_xlfn.SINGLE(tbl_file[RowId]))</f>
        <v>1</v>
      </c>
    </row>
    <row r="2702" spans="10:18">
      <c r="J2702" s="4">
        <v>2755</v>
      </c>
      <c r="K2702" s="21" t="str">
        <f t="shared" si="105"/>
        <v>📥 Konik Method for Making Useful Notes</v>
      </c>
      <c r="L2702" s="20" t="s">
        <v>175</v>
      </c>
      <c r="M2702" s="4"/>
      <c r="N2702" s="2" t="s">
        <v>50</v>
      </c>
      <c r="O2702" s="2" t="s">
        <v>2646</v>
      </c>
      <c r="P2702" s="4">
        <v>1</v>
      </c>
      <c r="Q2702" s="2" t="s">
        <v>1470</v>
      </c>
      <c r="R2702" s="11">
        <f>SUBTOTAL(3,_xlfn.SINGLE(tbl_file[RowId]))</f>
        <v>1</v>
      </c>
    </row>
    <row r="2703" spans="10:18">
      <c r="J2703" s="4">
        <v>2756</v>
      </c>
      <c r="K2703" s="21" t="str">
        <f t="shared" si="105"/>
        <v>📥 Konik Method for Making Useful Notes</v>
      </c>
      <c r="L2703" s="20" t="s">
        <v>175</v>
      </c>
      <c r="M2703" s="4"/>
      <c r="N2703" s="2" t="s">
        <v>118</v>
      </c>
      <c r="O2703" s="2"/>
      <c r="P2703" s="4">
        <v>1</v>
      </c>
      <c r="Q2703" s="2" t="s">
        <v>1641</v>
      </c>
      <c r="R2703" s="11">
        <f>SUBTOTAL(3,_xlfn.SINGLE(tbl_file[RowId]))</f>
        <v>1</v>
      </c>
    </row>
    <row r="2704" spans="10:18">
      <c r="J2704" s="4">
        <v>2757</v>
      </c>
      <c r="K2704" s="21" t="str">
        <f t="shared" si="105"/>
        <v>📥 Konik Method for Making Useful Notes</v>
      </c>
      <c r="L2704" s="20" t="s">
        <v>175</v>
      </c>
      <c r="M2704" s="4"/>
      <c r="N2704" s="2" t="s">
        <v>121</v>
      </c>
      <c r="O2704" s="2" t="s">
        <v>3273</v>
      </c>
      <c r="P2704" s="4">
        <v>1</v>
      </c>
      <c r="Q2704" s="2" t="s">
        <v>1840</v>
      </c>
      <c r="R2704" s="11">
        <f>SUBTOTAL(3,_xlfn.SINGLE(tbl_file[RowId]))</f>
        <v>1</v>
      </c>
    </row>
    <row r="2705" spans="10:18">
      <c r="J2705" s="4">
        <v>2758</v>
      </c>
      <c r="K2705" s="21" t="str">
        <f t="shared" si="105"/>
        <v>📥 Konik Method for Making Useful Notes</v>
      </c>
      <c r="L2705" s="20" t="s">
        <v>175</v>
      </c>
      <c r="M2705" s="4"/>
      <c r="N2705" s="2" t="s">
        <v>123</v>
      </c>
      <c r="O2705" s="2" t="s">
        <v>2635</v>
      </c>
      <c r="P2705" s="4">
        <v>1</v>
      </c>
      <c r="Q2705" s="2" t="s">
        <v>1564</v>
      </c>
      <c r="R2705" s="11">
        <f>SUBTOTAL(3,_xlfn.SINGLE(tbl_file[RowId]))</f>
        <v>1</v>
      </c>
    </row>
    <row r="2706" spans="10:18">
      <c r="J2706" s="4">
        <v>2759</v>
      </c>
      <c r="K2706" s="21" t="str">
        <f t="shared" si="105"/>
        <v>📥 Konik Method for Making Useful Notes</v>
      </c>
      <c r="L2706" s="20" t="s">
        <v>175</v>
      </c>
      <c r="M2706" s="4"/>
      <c r="N2706" s="2" t="s">
        <v>125</v>
      </c>
      <c r="O2706" s="2"/>
      <c r="P2706" s="4">
        <v>1</v>
      </c>
      <c r="Q2706" s="2" t="s">
        <v>1883</v>
      </c>
      <c r="R2706" s="11">
        <f>SUBTOTAL(3,_xlfn.SINGLE(tbl_file[RowId]))</f>
        <v>1</v>
      </c>
    </row>
    <row r="2707" spans="10:18">
      <c r="J2707" s="4">
        <v>2760</v>
      </c>
      <c r="K2707" s="21" t="str">
        <f t="shared" si="105"/>
        <v>📥 Konik Method for Making Useful Notes</v>
      </c>
      <c r="L2707" s="20" t="s">
        <v>175</v>
      </c>
      <c r="M2707" s="4"/>
      <c r="N2707" s="2" t="s">
        <v>126</v>
      </c>
      <c r="O2707" s="2"/>
      <c r="P2707" s="4">
        <v>1</v>
      </c>
      <c r="Q2707" s="2" t="s">
        <v>3099</v>
      </c>
      <c r="R2707" s="11">
        <f>SUBTOTAL(3,_xlfn.SINGLE(tbl_file[RowId]))</f>
        <v>1</v>
      </c>
    </row>
    <row r="2708" spans="10:18">
      <c r="J2708" s="4">
        <v>2761</v>
      </c>
      <c r="K2708" s="21" t="str">
        <f t="shared" si="105"/>
        <v>📥 Konik Method for Making Useful Notes</v>
      </c>
      <c r="L2708" s="20" t="s">
        <v>175</v>
      </c>
      <c r="M2708" s="4"/>
      <c r="N2708" s="2" t="s">
        <v>127</v>
      </c>
      <c r="O2708" s="2"/>
      <c r="P2708" s="4">
        <v>1</v>
      </c>
      <c r="Q2708" s="2" t="s">
        <v>1932</v>
      </c>
      <c r="R2708" s="11">
        <f>SUBTOTAL(3,_xlfn.SINGLE(tbl_file[RowId]))</f>
        <v>1</v>
      </c>
    </row>
    <row r="2709" spans="10:18">
      <c r="J2709" s="4">
        <v>2762</v>
      </c>
      <c r="K2709" s="21" t="str">
        <f t="shared" si="105"/>
        <v>📥 Konik Method for Making Useful Notes</v>
      </c>
      <c r="L2709" s="20" t="s">
        <v>175</v>
      </c>
      <c r="M2709" s="4"/>
      <c r="N2709" s="2" t="s">
        <v>2606</v>
      </c>
      <c r="O2709" s="2"/>
      <c r="P2709" s="4">
        <v>3</v>
      </c>
      <c r="Q2709" s="2" t="s">
        <v>3102</v>
      </c>
      <c r="R2709" s="11">
        <f>SUBTOTAL(3,_xlfn.SINGLE(tbl_file[RowId]))</f>
        <v>1</v>
      </c>
    </row>
    <row r="2710" spans="10:18">
      <c r="J2710" s="4">
        <v>2765</v>
      </c>
      <c r="K2710" s="21" t="str">
        <f>HYPERLINK("obsidian://open?vault=o2&amp;file=%F0%9F%93%A5%20My%20Inputs.md","📥 My Inputs")</f>
        <v>📥 My Inputs</v>
      </c>
      <c r="L2710" s="20" t="s">
        <v>175</v>
      </c>
      <c r="M2710" s="4"/>
      <c r="N2710" s="2" t="s">
        <v>50</v>
      </c>
      <c r="O2710" s="2"/>
      <c r="P2710" s="4">
        <v>1</v>
      </c>
      <c r="Q2710" s="2" t="s">
        <v>1582</v>
      </c>
      <c r="R2710" s="11">
        <f>SUBTOTAL(3,_xlfn.SINGLE(tbl_file[RowId]))</f>
        <v>1</v>
      </c>
    </row>
    <row r="2711" spans="10:18">
      <c r="J2711" s="4">
        <v>2766</v>
      </c>
      <c r="K2711" s="21" t="str">
        <f>HYPERLINK("obsidian://open?vault=o2&amp;file=%F0%9F%93%A5%20My%20Inputs.md","📥 My Inputs")</f>
        <v>📥 My Inputs</v>
      </c>
      <c r="L2711" s="20" t="s">
        <v>175</v>
      </c>
      <c r="M2711" s="4"/>
      <c r="N2711" s="2" t="s">
        <v>2606</v>
      </c>
      <c r="O2711" s="2"/>
      <c r="P2711" s="4">
        <v>1</v>
      </c>
      <c r="Q2711" s="2" t="s">
        <v>2575</v>
      </c>
      <c r="R2711" s="11">
        <f>SUBTOTAL(3,_xlfn.SINGLE(tbl_file[RowId]))</f>
        <v>1</v>
      </c>
    </row>
    <row r="2712" spans="10:18">
      <c r="J2712" s="4">
        <v>2763</v>
      </c>
      <c r="K2712" s="21" t="str">
        <f>HYPERLINK("obsidian://open?vault=o2&amp;file=%F0%9F%93%A5%20My%20Inputs%20Workflow.md","📥 My Inputs Workflow")</f>
        <v>📥 My Inputs Workflow</v>
      </c>
      <c r="L2712" s="20" t="s">
        <v>175</v>
      </c>
      <c r="M2712" s="4"/>
      <c r="N2712" s="2" t="s">
        <v>50</v>
      </c>
      <c r="O2712" s="2"/>
      <c r="P2712" s="4">
        <v>1</v>
      </c>
      <c r="Q2712" s="2" t="s">
        <v>1610</v>
      </c>
      <c r="R2712" s="11">
        <f>SUBTOTAL(3,_xlfn.SINGLE(tbl_file[RowId]))</f>
        <v>1</v>
      </c>
    </row>
    <row r="2713" spans="10:18">
      <c r="J2713" s="4">
        <v>2764</v>
      </c>
      <c r="K2713" s="21" t="str">
        <f>HYPERLINK("obsidian://open?vault=o2&amp;file=%F0%9F%93%A5%20My%20Inputs%20Workflow.md","📥 My Inputs Workflow")</f>
        <v>📥 My Inputs Workflow</v>
      </c>
      <c r="L2713" s="20" t="s">
        <v>175</v>
      </c>
      <c r="M2713" s="4"/>
      <c r="N2713" s="2" t="s">
        <v>2606</v>
      </c>
      <c r="O2713" s="2"/>
      <c r="P2713" s="4">
        <v>1</v>
      </c>
      <c r="Q2713" s="2" t="s">
        <v>2550</v>
      </c>
      <c r="R2713" s="11">
        <f>SUBTOTAL(3,_xlfn.SINGLE(tbl_file[RowId]))</f>
        <v>1</v>
      </c>
    </row>
    <row r="2714" spans="10:18">
      <c r="J2714" s="4">
        <v>2767</v>
      </c>
      <c r="K2714" s="21" t="str">
        <f>HYPERLINK("obsidian://open?vault=o2&amp;file=%F0%9F%93%A5%20Pinterest%20as%20a%20Source.md","📥 Pinterest as a Source")</f>
        <v>📥 Pinterest as a Source</v>
      </c>
      <c r="L2714" s="20" t="s">
        <v>175</v>
      </c>
      <c r="M2714" s="4"/>
      <c r="N2714" s="14" t="s">
        <v>20</v>
      </c>
      <c r="O2714" s="2"/>
      <c r="P2714" s="4">
        <v>1</v>
      </c>
      <c r="Q2714" s="2" t="s">
        <v>416</v>
      </c>
      <c r="R2714" s="11">
        <f>SUBTOTAL(3,_xlfn.SINGLE(tbl_file[RowId]))</f>
        <v>1</v>
      </c>
    </row>
    <row r="2715" spans="10:18">
      <c r="J2715" s="4">
        <v>2768</v>
      </c>
      <c r="K2715" s="21" t="str">
        <f>HYPERLINK("obsidian://open?vault=o2&amp;file=%F0%9F%93%A5%20Pinterest%20as%20a%20Source.md","📥 Pinterest as a Source")</f>
        <v>📥 Pinterest as a Source</v>
      </c>
      <c r="L2715" s="20" t="s">
        <v>175</v>
      </c>
      <c r="M2715" s="4" t="s">
        <v>2626</v>
      </c>
      <c r="N2715" s="2" t="s">
        <v>2606</v>
      </c>
      <c r="O2715" s="2"/>
      <c r="P2715" s="4">
        <v>1</v>
      </c>
      <c r="Q2715" s="2" t="s">
        <v>2371</v>
      </c>
      <c r="R2715" s="11">
        <f>SUBTOTAL(3,_xlfn.SINGLE(tbl_file[RowId]))</f>
        <v>1</v>
      </c>
    </row>
    <row r="2716" spans="10:18">
      <c r="J2716" s="4">
        <v>2769</v>
      </c>
      <c r="K2716" s="21" t="str">
        <f>HYPERLINK("obsidian://open?vault=o2&amp;file=%F0%9F%93%A5%20Review%20Pinterest%20Account%20For%20Ideas.md","📥 Review Pinterest Account For Ideas")</f>
        <v>📥 Review Pinterest Account For Ideas</v>
      </c>
      <c r="L2716" s="20" t="s">
        <v>175</v>
      </c>
      <c r="M2716" s="4"/>
      <c r="N2716" s="14" t="s">
        <v>20</v>
      </c>
      <c r="O2716" s="2"/>
      <c r="P2716" s="4">
        <v>1</v>
      </c>
      <c r="Q2716" s="2" t="s">
        <v>414</v>
      </c>
      <c r="R2716" s="11">
        <f>SUBTOTAL(3,_xlfn.SINGLE(tbl_file[RowId]))</f>
        <v>1</v>
      </c>
    </row>
    <row r="2717" spans="10:18">
      <c r="J2717" s="4">
        <v>2770</v>
      </c>
      <c r="K2717" s="21" t="str">
        <f>HYPERLINK("obsidian://open?vault=o2&amp;file=%F0%9F%93%A5%20Review%20Pinterest%20Account%20For%20Ideas.md","📥 Review Pinterest Account For Ideas")</f>
        <v>📥 Review Pinterest Account For Ideas</v>
      </c>
      <c r="L2717" s="20" t="s">
        <v>175</v>
      </c>
      <c r="M2717" s="4" t="s">
        <v>2626</v>
      </c>
      <c r="N2717" s="2" t="s">
        <v>2606</v>
      </c>
      <c r="O2717" s="2"/>
      <c r="P2717" s="4">
        <v>1</v>
      </c>
      <c r="Q2717" s="2" t="s">
        <v>2371</v>
      </c>
      <c r="R2717" s="11">
        <f>SUBTOTAL(3,_xlfn.SINGLE(tbl_file[RowId]))</f>
        <v>1</v>
      </c>
    </row>
    <row r="2718" spans="10:18">
      <c r="J2718" s="4">
        <v>2771</v>
      </c>
      <c r="K2718" s="21" t="str">
        <f>HYPERLINK("obsidian://open?vault=o2&amp;file=%F0%9F%93%A5%20The%203-Part%20Daily%20Routine%20For%20Maximum%20Productivity.md","📥 The 3-Part Daily Routine For Maximum Productivity")</f>
        <v>📥 The 3-Part Daily Routine For Maximum Productivity</v>
      </c>
      <c r="L2718" s="20" t="s">
        <v>175</v>
      </c>
      <c r="M2718" s="4"/>
      <c r="N2718" s="2" t="s">
        <v>50</v>
      </c>
      <c r="O2718" s="2"/>
      <c r="P2718" s="4">
        <v>1</v>
      </c>
      <c r="Q2718" s="2" t="s">
        <v>1436</v>
      </c>
      <c r="R2718" s="11">
        <f>SUBTOTAL(3,_xlfn.SINGLE(tbl_file[RowId]))</f>
        <v>1</v>
      </c>
    </row>
    <row r="2719" spans="10:18">
      <c r="J2719" s="4">
        <v>2772</v>
      </c>
      <c r="K2719" s="21" t="str">
        <f>HYPERLINK("obsidian://open?vault=o2&amp;file=%F0%9F%93%A5%20The%203-Part%20Daily%20Routine%20For%20Maximum%20Productivity.md","📥 The 3-Part Daily Routine For Maximum Productivity")</f>
        <v>📥 The 3-Part Daily Routine For Maximum Productivity</v>
      </c>
      <c r="L2719" s="20" t="s">
        <v>175</v>
      </c>
      <c r="M2719" s="4"/>
      <c r="N2719" s="2" t="s">
        <v>127</v>
      </c>
      <c r="O2719" s="2"/>
      <c r="P2719" s="4">
        <v>1</v>
      </c>
      <c r="Q2719" s="2" t="s">
        <v>1970</v>
      </c>
      <c r="R2719" s="11">
        <f>SUBTOTAL(3,_xlfn.SINGLE(tbl_file[RowId]))</f>
        <v>1</v>
      </c>
    </row>
    <row r="2720" spans="10:18">
      <c r="J2720" s="4">
        <v>2773</v>
      </c>
      <c r="K2720" s="21" t="str">
        <f>HYPERLINK("obsidian://open?vault=o2&amp;file=%F0%9F%93%A5%20The%203-Part%20Daily%20Routine%20For%20Maximum%20Productivity.md","📥 The 3-Part Daily Routine For Maximum Productivity")</f>
        <v>📥 The 3-Part Daily Routine For Maximum Productivity</v>
      </c>
      <c r="L2720" s="20" t="s">
        <v>175</v>
      </c>
      <c r="M2720" s="4"/>
      <c r="N2720" s="2" t="s">
        <v>2606</v>
      </c>
      <c r="O2720" s="2"/>
      <c r="P2720" s="4">
        <v>1</v>
      </c>
      <c r="Q2720" s="2" t="s">
        <v>2372</v>
      </c>
      <c r="R2720" s="11">
        <f>SUBTOTAL(3,_xlfn.SINGLE(tbl_file[RowId]))</f>
        <v>1</v>
      </c>
    </row>
    <row r="2721" spans="10:18">
      <c r="J2721" s="4">
        <v>2774</v>
      </c>
      <c r="K2721" s="21" t="str">
        <f>HYPERLINK("obsidian://open?vault=o2&amp;file=%F0%9F%97%BA%EF%B8%8F%20Cooking%20MOC.md","🗺️ Cooking MOC")</f>
        <v>🗺️ Cooking MOC</v>
      </c>
      <c r="L2721" s="20" t="s">
        <v>175</v>
      </c>
      <c r="M2721" s="4"/>
      <c r="N2721" s="2" t="s">
        <v>50</v>
      </c>
      <c r="O2721" s="2"/>
      <c r="P2721" s="4">
        <v>1</v>
      </c>
      <c r="Q2721" s="2" t="s">
        <v>1612</v>
      </c>
      <c r="R2721" s="11">
        <f>SUBTOTAL(3,_xlfn.SINGLE(tbl_file[RowId]))</f>
        <v>1</v>
      </c>
    </row>
    <row r="2722" spans="10:18">
      <c r="J2722" s="4">
        <v>2775</v>
      </c>
      <c r="K2722" s="21" t="str">
        <f>HYPERLINK("obsidian://open?vault=o2&amp;file=%F0%9F%97%BA%EF%B8%8F%20Cooking%20MOC.md","🗺️ Cooking MOC")</f>
        <v>🗺️ Cooking MOC</v>
      </c>
      <c r="L2722" s="20" t="s">
        <v>175</v>
      </c>
      <c r="M2722" s="4"/>
      <c r="N2722" s="2" t="s">
        <v>123</v>
      </c>
      <c r="O2722" s="2"/>
      <c r="P2722" s="4">
        <v>1</v>
      </c>
      <c r="Q2722" s="2" t="s">
        <v>1694</v>
      </c>
      <c r="R2722" s="11">
        <f>SUBTOTAL(3,_xlfn.SINGLE(tbl_file[RowId]))</f>
        <v>1</v>
      </c>
    </row>
    <row r="2723" spans="10:18">
      <c r="J2723" s="4">
        <v>2776</v>
      </c>
      <c r="K2723" s="21" t="str">
        <f>HYPERLINK("obsidian://open?vault=o2&amp;file=%F0%9F%97%BA%EF%B8%8F%20Cooking%20MOC.md","🗺️ Cooking MOC")</f>
        <v>🗺️ Cooking MOC</v>
      </c>
      <c r="L2723" s="20" t="s">
        <v>175</v>
      </c>
      <c r="M2723" s="4"/>
      <c r="N2723" s="2" t="s">
        <v>127</v>
      </c>
      <c r="O2723" s="2"/>
      <c r="P2723" s="4">
        <v>1</v>
      </c>
      <c r="Q2723" s="2" t="s">
        <v>1968</v>
      </c>
      <c r="R2723" s="11">
        <f>SUBTOTAL(3,_xlfn.SINGLE(tbl_file[RowId]))</f>
        <v>1</v>
      </c>
    </row>
    <row r="2724" spans="10:18">
      <c r="J2724" s="4">
        <v>2777</v>
      </c>
      <c r="K2724" s="21" t="str">
        <f>HYPERLINK("obsidian://open?vault=o2&amp;file=%F0%9F%97%BA%EF%B8%8F%20Cooking%20MOC.md","🗺️ Cooking MOC")</f>
        <v>🗺️ Cooking MOC</v>
      </c>
      <c r="L2724" s="20" t="s">
        <v>175</v>
      </c>
      <c r="M2724" s="4"/>
      <c r="N2724" s="2" t="s">
        <v>2606</v>
      </c>
      <c r="O2724" s="2"/>
      <c r="P2724" s="4">
        <v>1</v>
      </c>
      <c r="Q2724" s="2" t="s">
        <v>2576</v>
      </c>
      <c r="R2724" s="11">
        <f>SUBTOTAL(3,_xlfn.SINGLE(tbl_file[RowId]))</f>
        <v>1</v>
      </c>
    </row>
    <row r="2725" spans="10:18">
      <c r="J2725" s="4">
        <v>2778</v>
      </c>
      <c r="K2725" s="21" t="str">
        <f>HYPERLINK("obsidian://open?vault=o2&amp;file=%F0%9F%97%BA%EF%B8%8F%20Maps%20of%20Content%20%28MOC%29.md","🗺️ Maps of Content (MOC)")</f>
        <v>🗺️ Maps of Content (MOC)</v>
      </c>
      <c r="L2725" s="20" t="s">
        <v>175</v>
      </c>
      <c r="M2725" s="4"/>
      <c r="N2725" s="2" t="s">
        <v>50</v>
      </c>
      <c r="O2725" s="2"/>
      <c r="P2725" s="4">
        <v>1</v>
      </c>
      <c r="Q2725" s="2" t="s">
        <v>1436</v>
      </c>
      <c r="R2725" s="11">
        <f>SUBTOTAL(3,_xlfn.SINGLE(tbl_file[RowId]))</f>
        <v>1</v>
      </c>
    </row>
    <row r="2726" spans="10:18">
      <c r="J2726" s="4">
        <v>2779</v>
      </c>
      <c r="K2726" s="21" t="str">
        <f>HYPERLINK("obsidian://open?vault=o2&amp;file=%F0%9F%97%BA%EF%B8%8F%20Maps%20of%20Content%20%28MOC%29.md","🗺️ Maps of Content (MOC)")</f>
        <v>🗺️ Maps of Content (MOC)</v>
      </c>
      <c r="L2726" s="20" t="s">
        <v>175</v>
      </c>
      <c r="M2726" s="4"/>
      <c r="N2726" s="2" t="s">
        <v>127</v>
      </c>
      <c r="O2726" s="2"/>
      <c r="P2726" s="4">
        <v>1</v>
      </c>
      <c r="Q2726" s="2" t="s">
        <v>1968</v>
      </c>
      <c r="R2726" s="11">
        <f>SUBTOTAL(3,_xlfn.SINGLE(tbl_file[RowId]))</f>
        <v>1</v>
      </c>
    </row>
    <row r="2727" spans="10:18">
      <c r="J2727" s="4">
        <v>2780</v>
      </c>
      <c r="K2727" s="21" t="str">
        <f>HYPERLINK("obsidian://open?vault=o2&amp;file=%F0%9F%97%BA%EF%B8%8F%20Maps%20of%20Content%20%28MOC%29.md","🗺️ Maps of Content (MOC)")</f>
        <v>🗺️ Maps of Content (MOC)</v>
      </c>
      <c r="L2727" s="20" t="s">
        <v>175</v>
      </c>
      <c r="M2727" s="4"/>
      <c r="N2727" s="2" t="s">
        <v>2606</v>
      </c>
      <c r="O2727" s="2"/>
      <c r="P2727" s="4">
        <v>1</v>
      </c>
      <c r="Q2727" s="2" t="s">
        <v>2576</v>
      </c>
      <c r="R2727" s="11">
        <f>SUBTOTAL(3,_xlfn.SINGLE(tbl_file[RowId]))</f>
        <v>1</v>
      </c>
    </row>
    <row r="2728" spans="10:18">
      <c r="J2728" s="4">
        <v>2781</v>
      </c>
      <c r="K2728" s="21" t="str">
        <f>HYPERLINK("obsidian://open?vault=o2&amp;file=%F0%9F%97%BA%EF%B8%8F%20My%20MOCs.md","🗺️ My MOCs")</f>
        <v>🗺️ My MOCs</v>
      </c>
      <c r="L2728" s="20" t="s">
        <v>175</v>
      </c>
      <c r="M2728" s="4"/>
      <c r="N2728" s="2" t="s">
        <v>50</v>
      </c>
      <c r="O2728" s="2"/>
      <c r="P2728" s="4">
        <v>1</v>
      </c>
      <c r="Q2728" s="2" t="s">
        <v>1436</v>
      </c>
      <c r="R2728" s="11">
        <f>SUBTOTAL(3,_xlfn.SINGLE(tbl_file[RowId]))</f>
        <v>1</v>
      </c>
    </row>
    <row r="2729" spans="10:18">
      <c r="J2729" s="4">
        <v>2782</v>
      </c>
      <c r="K2729" s="21" t="str">
        <f>HYPERLINK("obsidian://open?vault=o2&amp;file=%F0%9F%97%BA%EF%B8%8F%20My%20MOCs.md","🗺️ My MOCs")</f>
        <v>🗺️ My MOCs</v>
      </c>
      <c r="L2729" s="20" t="s">
        <v>175</v>
      </c>
      <c r="M2729" s="4"/>
      <c r="N2729" s="2" t="s">
        <v>127</v>
      </c>
      <c r="O2729" s="2"/>
      <c r="P2729" s="4">
        <v>1</v>
      </c>
      <c r="Q2729" s="2" t="s">
        <v>1968</v>
      </c>
      <c r="R2729" s="11">
        <f>SUBTOTAL(3,_xlfn.SINGLE(tbl_file[RowId]))</f>
        <v>1</v>
      </c>
    </row>
    <row r="2730" spans="10:18">
      <c r="J2730" s="4">
        <v>2783</v>
      </c>
      <c r="K2730" s="21" t="str">
        <f>HYPERLINK("obsidian://open?vault=o2&amp;file=%F0%9F%97%BA%EF%B8%8F%20My%20MOCs.md","🗺️ My MOCs")</f>
        <v>🗺️ My MOCs</v>
      </c>
      <c r="L2730" s="20" t="s">
        <v>175</v>
      </c>
      <c r="M2730" s="4"/>
      <c r="N2730" s="2" t="s">
        <v>2606</v>
      </c>
      <c r="O2730" s="2"/>
      <c r="P2730" s="4">
        <v>1</v>
      </c>
      <c r="Q2730" s="2" t="s">
        <v>2576</v>
      </c>
      <c r="R2730" s="11">
        <f>SUBTOTAL(3,_xlfn.SINGLE(tbl_file[RowId]))</f>
        <v>1</v>
      </c>
    </row>
    <row r="2731" spans="10:18">
      <c r="J2731" s="4">
        <v>2784</v>
      </c>
      <c r="K2731" s="21" t="str">
        <f>HYPERLINK("obsidian://open?vault=o2&amp;file=%F0%9F%97%BA%EF%B8%8F%20My%20Tools%20MOC.md","🗺️ My Tools MOC")</f>
        <v>🗺️ My Tools MOC</v>
      </c>
      <c r="L2731" s="20" t="s">
        <v>175</v>
      </c>
      <c r="M2731" s="4"/>
      <c r="N2731" s="2" t="s">
        <v>50</v>
      </c>
      <c r="O2731" s="2"/>
      <c r="P2731" s="4">
        <v>1</v>
      </c>
      <c r="Q2731" s="2" t="s">
        <v>1436</v>
      </c>
      <c r="R2731" s="11">
        <f>SUBTOTAL(3,_xlfn.SINGLE(tbl_file[RowId]))</f>
        <v>1</v>
      </c>
    </row>
    <row r="2732" spans="10:18">
      <c r="J2732" s="4">
        <v>2785</v>
      </c>
      <c r="K2732" s="21" t="str">
        <f>HYPERLINK("obsidian://open?vault=o2&amp;file=%F0%9F%97%BA%EF%B8%8F%20My%20Tools%20MOC.md","🗺️ My Tools MOC")</f>
        <v>🗺️ My Tools MOC</v>
      </c>
      <c r="L2732" s="20" t="s">
        <v>175</v>
      </c>
      <c r="M2732" s="4"/>
      <c r="N2732" s="2" t="s">
        <v>127</v>
      </c>
      <c r="O2732" s="2"/>
      <c r="P2732" s="4">
        <v>1</v>
      </c>
      <c r="Q2732" s="2" t="s">
        <v>1968</v>
      </c>
      <c r="R2732" s="11">
        <f>SUBTOTAL(3,_xlfn.SINGLE(tbl_file[RowId]))</f>
        <v>1</v>
      </c>
    </row>
    <row r="2733" spans="10:18">
      <c r="J2733" s="4">
        <v>2786</v>
      </c>
      <c r="K2733" s="21" t="str">
        <f>HYPERLINK("obsidian://open?vault=o2&amp;file=%F0%9F%97%BA%EF%B8%8F%20My%20Tools%20MOC.md","🗺️ My Tools MOC")</f>
        <v>🗺️ My Tools MOC</v>
      </c>
      <c r="L2733" s="20" t="s">
        <v>175</v>
      </c>
      <c r="M2733" s="4"/>
      <c r="N2733" s="2" t="s">
        <v>2606</v>
      </c>
      <c r="O2733" s="2"/>
      <c r="P2733" s="4">
        <v>2</v>
      </c>
      <c r="Q2733" s="2" t="s">
        <v>3274</v>
      </c>
      <c r="R2733" s="11">
        <f>SUBTOTAL(3,_xlfn.SINGLE(tbl_file[RowId]))</f>
        <v>1</v>
      </c>
    </row>
    <row r="2734" spans="10:18">
      <c r="J2734" s="4">
        <v>2787</v>
      </c>
      <c r="K2734" s="21" t="str">
        <f>HYPERLINK("obsidian://open?vault=o2&amp;file=%F0%9F%97%BA%EF%B8%8F%20Note%20Taking%20MOC.md","🗺️ Note Taking MOC")</f>
        <v>🗺️ Note Taking MOC</v>
      </c>
      <c r="L2734" s="20" t="s">
        <v>175</v>
      </c>
      <c r="M2734" s="4"/>
      <c r="N2734" s="2" t="s">
        <v>50</v>
      </c>
      <c r="O2734" s="2"/>
      <c r="P2734" s="4">
        <v>1</v>
      </c>
      <c r="Q2734" s="2" t="s">
        <v>1436</v>
      </c>
      <c r="R2734" s="11">
        <f>SUBTOTAL(3,_xlfn.SINGLE(tbl_file[RowId]))</f>
        <v>1</v>
      </c>
    </row>
    <row r="2735" spans="10:18">
      <c r="J2735" s="4">
        <v>2788</v>
      </c>
      <c r="K2735" s="21" t="str">
        <f>HYPERLINK("obsidian://open?vault=o2&amp;file=%F0%9F%97%BA%EF%B8%8F%20Note%20Taking%20MOC.md","🗺️ Note Taking MOC")</f>
        <v>🗺️ Note Taking MOC</v>
      </c>
      <c r="L2735" s="20" t="s">
        <v>175</v>
      </c>
      <c r="M2735" s="4"/>
      <c r="N2735" s="2" t="s">
        <v>127</v>
      </c>
      <c r="O2735" s="2"/>
      <c r="P2735" s="4">
        <v>1</v>
      </c>
      <c r="Q2735" s="2" t="s">
        <v>1968</v>
      </c>
      <c r="R2735" s="11">
        <f>SUBTOTAL(3,_xlfn.SINGLE(tbl_file[RowId]))</f>
        <v>1</v>
      </c>
    </row>
    <row r="2736" spans="10:18">
      <c r="J2736" s="4">
        <v>2789</v>
      </c>
      <c r="K2736" s="21" t="str">
        <f>HYPERLINK("obsidian://open?vault=o2&amp;file=%F0%9F%97%BA%EF%B8%8F%20Note%20Taking%20MOC.md","🗺️ Note Taking MOC")</f>
        <v>🗺️ Note Taking MOC</v>
      </c>
      <c r="L2736" s="20" t="s">
        <v>175</v>
      </c>
      <c r="M2736" s="4"/>
      <c r="N2736" s="2" t="s">
        <v>2606</v>
      </c>
      <c r="O2736" s="2"/>
      <c r="P2736" s="4">
        <v>1</v>
      </c>
      <c r="Q2736" s="2" t="s">
        <v>2576</v>
      </c>
      <c r="R2736" s="11">
        <f>SUBTOTAL(3,_xlfn.SINGLE(tbl_file[RowId]))</f>
        <v>1</v>
      </c>
    </row>
    <row r="2737" spans="10:18">
      <c r="J2737" s="4">
        <v>2790</v>
      </c>
      <c r="K2737" s="21" t="str">
        <f>HYPERLINK("obsidian://open?vault=o2&amp;file=%F0%9F%97%BA%EF%B8%8F%20Obsidian%20MOC.md","🗺️ Obsidian MOC")</f>
        <v>🗺️ Obsidian MOC</v>
      </c>
      <c r="L2737" s="20" t="s">
        <v>175</v>
      </c>
      <c r="M2737" s="4"/>
      <c r="N2737" s="2" t="s">
        <v>50</v>
      </c>
      <c r="O2737" s="2"/>
      <c r="P2737" s="4">
        <v>1</v>
      </c>
      <c r="Q2737" s="2" t="s">
        <v>1436</v>
      </c>
      <c r="R2737" s="11">
        <f>SUBTOTAL(3,_xlfn.SINGLE(tbl_file[RowId]))</f>
        <v>1</v>
      </c>
    </row>
    <row r="2738" spans="10:18">
      <c r="J2738" s="4">
        <v>2791</v>
      </c>
      <c r="K2738" s="21" t="str">
        <f>HYPERLINK("obsidian://open?vault=o2&amp;file=%F0%9F%97%BA%EF%B8%8F%20Obsidian%20MOC.md","🗺️ Obsidian MOC")</f>
        <v>🗺️ Obsidian MOC</v>
      </c>
      <c r="L2738" s="20" t="s">
        <v>175</v>
      </c>
      <c r="M2738" s="4"/>
      <c r="N2738" s="2" t="s">
        <v>127</v>
      </c>
      <c r="O2738" s="2"/>
      <c r="P2738" s="4">
        <v>1</v>
      </c>
      <c r="Q2738" s="2" t="s">
        <v>1968</v>
      </c>
      <c r="R2738" s="11">
        <f>SUBTOTAL(3,_xlfn.SINGLE(tbl_file[RowId]))</f>
        <v>1</v>
      </c>
    </row>
    <row r="2739" spans="10:18">
      <c r="J2739" s="4">
        <v>2792</v>
      </c>
      <c r="K2739" s="21" t="str">
        <f>HYPERLINK("obsidian://open?vault=o2&amp;file=%F0%9F%97%BA%EF%B8%8F%20Obsidian%20MOC.md","🗺️ Obsidian MOC")</f>
        <v>🗺️ Obsidian MOC</v>
      </c>
      <c r="L2739" s="20" t="s">
        <v>175</v>
      </c>
      <c r="M2739" s="4"/>
      <c r="N2739" s="2" t="s">
        <v>2606</v>
      </c>
      <c r="O2739" s="2"/>
      <c r="P2739" s="4">
        <v>1</v>
      </c>
      <c r="Q2739" s="2" t="s">
        <v>2576</v>
      </c>
      <c r="R2739" s="11">
        <f>SUBTOTAL(3,_xlfn.SINGLE(tbl_file[RowId]))</f>
        <v>1</v>
      </c>
    </row>
    <row r="2740" spans="10:18">
      <c r="J2740" s="4">
        <v>1199</v>
      </c>
      <c r="K2740" s="21" t="str">
        <f>HYPERLINK("obsidian://open?vault=o2&amp;file=%F0%9F%97%BA%EF%B8%8F%20Personal%20Knowledge%20Management%20MOC.md","🗺️ Personal Knowledge Management MOC")</f>
        <v>🗺️ Personal Knowledge Management MOC</v>
      </c>
      <c r="L2740" s="20" t="s">
        <v>175</v>
      </c>
      <c r="M2740" s="4"/>
      <c r="N2740" s="2" t="s">
        <v>11</v>
      </c>
      <c r="O2740" s="2"/>
      <c r="P2740" s="4">
        <v>1</v>
      </c>
      <c r="Q2740" s="2" t="s">
        <v>230</v>
      </c>
      <c r="R2740" s="11">
        <f>SUBTOTAL(3,_xlfn.SINGLE(tbl_file[RowId]))</f>
        <v>1</v>
      </c>
    </row>
    <row r="2741" spans="10:18">
      <c r="J2741" s="4">
        <v>1200</v>
      </c>
      <c r="K2741" s="21" t="str">
        <f>HYPERLINK("obsidian://open?vault=o2&amp;file=%F0%9F%97%BA%EF%B8%8F%20Personal%20Knowledge%20Management%20MOC.md","🗺️ Personal Knowledge Management MOC")</f>
        <v>🗺️ Personal Knowledge Management MOC</v>
      </c>
      <c r="L2741" s="20" t="s">
        <v>175</v>
      </c>
      <c r="M2741" s="4"/>
      <c r="N2741" s="2" t="s">
        <v>50</v>
      </c>
      <c r="O2741" s="2"/>
      <c r="P2741" s="4">
        <v>1</v>
      </c>
      <c r="Q2741" s="2" t="s">
        <v>1614</v>
      </c>
      <c r="R2741" s="11">
        <f>SUBTOTAL(3,_xlfn.SINGLE(tbl_file[RowId]))</f>
        <v>1</v>
      </c>
    </row>
    <row r="2742" spans="10:18">
      <c r="J2742" s="4">
        <v>1201</v>
      </c>
      <c r="K2742" s="21" t="str">
        <f>HYPERLINK("obsidian://open?vault=o2&amp;file=%F0%9F%97%BA%EF%B8%8F%20Personal%20Knowledge%20Management%20MOC.md","🗺️ Personal Knowledge Management MOC")</f>
        <v>🗺️ Personal Knowledge Management MOC</v>
      </c>
      <c r="L2742" s="20" t="s">
        <v>175</v>
      </c>
      <c r="M2742" s="4"/>
      <c r="N2742" s="2" t="s">
        <v>127</v>
      </c>
      <c r="O2742" s="2"/>
      <c r="P2742" s="4">
        <v>1</v>
      </c>
      <c r="Q2742" s="2" t="s">
        <v>1966</v>
      </c>
      <c r="R2742" s="11">
        <f>SUBTOTAL(3,_xlfn.SINGLE(tbl_file[RowId]))</f>
        <v>1</v>
      </c>
    </row>
    <row r="2743" spans="10:18">
      <c r="J2743" s="4">
        <v>1202</v>
      </c>
      <c r="K2743" s="21" t="str">
        <f>HYPERLINK("obsidian://open?vault=o2&amp;file=%F0%9F%97%BA%EF%B8%8F%20Personal%20Knowledge%20Management%20MOC.md","🗺️ Personal Knowledge Management MOC")</f>
        <v>🗺️ Personal Knowledge Management MOC</v>
      </c>
      <c r="L2743" s="20" t="s">
        <v>175</v>
      </c>
      <c r="M2743" s="4"/>
      <c r="N2743" s="2" t="s">
        <v>2606</v>
      </c>
      <c r="O2743" s="2"/>
      <c r="P2743" s="4">
        <v>2</v>
      </c>
      <c r="Q2743" s="2" t="s">
        <v>3000</v>
      </c>
      <c r="R2743" s="11">
        <f>SUBTOTAL(3,_xlfn.SINGLE(tbl_file[RowId]))</f>
        <v>1</v>
      </c>
    </row>
    <row r="2744" spans="10:18">
      <c r="J2744" s="4">
        <v>2793</v>
      </c>
      <c r="K2744" s="21" t="str">
        <f>HYPERLINK("obsidian://open?vault=o2&amp;file=%F0%9F%97%BA%EF%B8%8F%20Project%20Management%20MOC.md","🗺️ Project Management MOC")</f>
        <v>🗺️ Project Management MOC</v>
      </c>
      <c r="L2744" s="20" t="s">
        <v>175</v>
      </c>
      <c r="M2744" s="4"/>
      <c r="N2744" s="2" t="s">
        <v>50</v>
      </c>
      <c r="O2744" s="2"/>
      <c r="P2744" s="4">
        <v>1</v>
      </c>
      <c r="Q2744" s="2" t="s">
        <v>1614</v>
      </c>
      <c r="R2744" s="11">
        <f>SUBTOTAL(3,_xlfn.SINGLE(tbl_file[RowId]))</f>
        <v>1</v>
      </c>
    </row>
    <row r="2745" spans="10:18">
      <c r="J2745" s="4">
        <v>2794</v>
      </c>
      <c r="K2745" s="21" t="str">
        <f>HYPERLINK("obsidian://open?vault=o2&amp;file=%F0%9F%97%BA%EF%B8%8F%20Project%20Management%20MOC.md","🗺️ Project Management MOC")</f>
        <v>🗺️ Project Management MOC</v>
      </c>
      <c r="L2745" s="20" t="s">
        <v>175</v>
      </c>
      <c r="M2745" s="4"/>
      <c r="N2745" s="2" t="s">
        <v>127</v>
      </c>
      <c r="O2745" s="2"/>
      <c r="P2745" s="4">
        <v>1</v>
      </c>
      <c r="Q2745" s="2" t="s">
        <v>1968</v>
      </c>
      <c r="R2745" s="11">
        <f>SUBTOTAL(3,_xlfn.SINGLE(tbl_file[RowId]))</f>
        <v>1</v>
      </c>
    </row>
    <row r="2746" spans="10:18">
      <c r="J2746" s="4">
        <v>2795</v>
      </c>
      <c r="K2746" s="21" t="str">
        <f>HYPERLINK("obsidian://open?vault=o2&amp;file=%F0%9F%97%BA%EF%B8%8F%20Project%20Management%20MOC.md","🗺️ Project Management MOC")</f>
        <v>🗺️ Project Management MOC</v>
      </c>
      <c r="L2746" s="20" t="s">
        <v>175</v>
      </c>
      <c r="M2746" s="4"/>
      <c r="N2746" s="2" t="s">
        <v>2606</v>
      </c>
      <c r="O2746" s="2"/>
      <c r="P2746" s="4">
        <v>1</v>
      </c>
      <c r="Q2746" s="2" t="s">
        <v>2576</v>
      </c>
      <c r="R2746" s="11">
        <f>SUBTOTAL(3,_xlfn.SINGLE(tbl_file[RowId]))</f>
        <v>1</v>
      </c>
    </row>
    <row r="2747" spans="10:18">
      <c r="J2747" s="4">
        <v>2796</v>
      </c>
      <c r="K2747" s="21" t="str">
        <f>HYPERLINK("obsidian://open?vault=o2&amp;file=%F0%9F%97%BA%EF%B8%8F%20Recipes%20MOC.md","🗺️ Recipes MOC")</f>
        <v>🗺️ Recipes MOC</v>
      </c>
      <c r="L2747" s="20" t="s">
        <v>175</v>
      </c>
      <c r="M2747" s="4"/>
      <c r="N2747" s="2" t="s">
        <v>50</v>
      </c>
      <c r="O2747" s="2"/>
      <c r="P2747" s="4">
        <v>1</v>
      </c>
      <c r="Q2747" s="2" t="s">
        <v>1616</v>
      </c>
      <c r="R2747" s="11">
        <f>SUBTOTAL(3,_xlfn.SINGLE(tbl_file[RowId]))</f>
        <v>1</v>
      </c>
    </row>
    <row r="2748" spans="10:18">
      <c r="J2748" s="4">
        <v>2797</v>
      </c>
      <c r="K2748" s="21" t="str">
        <f>HYPERLINK("obsidian://open?vault=o2&amp;file=%F0%9F%97%BA%EF%B8%8F%20Recipes%20MOC.md","🗺️ Recipes MOC")</f>
        <v>🗺️ Recipes MOC</v>
      </c>
      <c r="L2748" s="20" t="s">
        <v>175</v>
      </c>
      <c r="M2748" s="4"/>
      <c r="N2748" s="2" t="s">
        <v>127</v>
      </c>
      <c r="O2748" s="2"/>
      <c r="P2748" s="4">
        <v>1</v>
      </c>
      <c r="Q2748" s="2" t="s">
        <v>1968</v>
      </c>
      <c r="R2748" s="11">
        <f>SUBTOTAL(3,_xlfn.SINGLE(tbl_file[RowId]))</f>
        <v>1</v>
      </c>
    </row>
    <row r="2749" spans="10:18">
      <c r="J2749" s="4">
        <v>2798</v>
      </c>
      <c r="K2749" s="21" t="str">
        <f>HYPERLINK("obsidian://open?vault=o2&amp;file=%F0%9F%97%BA%EF%B8%8F%20Recipes%20MOC.md","🗺️ Recipes MOC")</f>
        <v>🗺️ Recipes MOC</v>
      </c>
      <c r="L2749" s="20" t="s">
        <v>175</v>
      </c>
      <c r="M2749" s="4"/>
      <c r="N2749" s="2" t="s">
        <v>2606</v>
      </c>
      <c r="O2749" s="2"/>
      <c r="P2749" s="4">
        <v>1</v>
      </c>
      <c r="Q2749" s="2" t="s">
        <v>2576</v>
      </c>
      <c r="R2749" s="11">
        <f>SUBTOTAL(3,_xlfn.SINGLE(tbl_file[RowId]))</f>
        <v>1</v>
      </c>
    </row>
    <row r="2750" spans="10:18">
      <c r="J2750" s="4">
        <v>2799</v>
      </c>
      <c r="K2750" s="21" t="str">
        <f>HYPERLINK("obsidian://open?vault=o2&amp;file=%F0%9F%97%BA%EF%B8%8F%20Videos%20MOC.md","🗺️ Videos MOC")</f>
        <v>🗺️ Videos MOC</v>
      </c>
      <c r="L2750" s="20" t="s">
        <v>175</v>
      </c>
      <c r="M2750" s="4"/>
      <c r="N2750" s="2" t="s">
        <v>127</v>
      </c>
      <c r="O2750" s="2"/>
      <c r="P2750" s="4">
        <v>1</v>
      </c>
      <c r="Q2750" s="2" t="s">
        <v>1968</v>
      </c>
      <c r="R2750" s="11">
        <f>SUBTOTAL(3,_xlfn.SINGLE(tbl_file[RowId]))</f>
        <v>1</v>
      </c>
    </row>
    <row r="2751" spans="10:18">
      <c r="J2751" s="4">
        <v>2800</v>
      </c>
      <c r="K2751" s="21" t="str">
        <f>HYPERLINK("obsidian://open?vault=o2&amp;file=%F0%9F%97%BA%EF%B8%8F%20Videos%20MOC.md","🗺️ Videos MOC")</f>
        <v>🗺️ Videos MOC</v>
      </c>
      <c r="L2751" s="20" t="s">
        <v>175</v>
      </c>
      <c r="M2751" s="4"/>
      <c r="N2751" s="2" t="s">
        <v>2606</v>
      </c>
      <c r="O2751" s="2"/>
      <c r="P2751" s="4">
        <v>1</v>
      </c>
      <c r="Q2751" s="2" t="s">
        <v>2576</v>
      </c>
      <c r="R2751" s="11">
        <f>SUBTOTAL(3,_xlfn.SINGLE(tbl_file[RowId]))</f>
        <v>1</v>
      </c>
    </row>
    <row r="2752" spans="10:18">
      <c r="J2752" s="4">
        <v>1097</v>
      </c>
      <c r="K2752" s="21" t="str">
        <f>HYPERLINK("obsidian://open?vault=o2&amp;file=%F0%9F%A6%8B%20Art.md","🦋 Art")</f>
        <v>🦋 Art</v>
      </c>
      <c r="L2752" s="20" t="s">
        <v>175</v>
      </c>
      <c r="M2752" s="4"/>
      <c r="N2752" s="2" t="s">
        <v>23</v>
      </c>
      <c r="O2752" s="2"/>
      <c r="P2752" s="4">
        <v>2</v>
      </c>
      <c r="Q2752" s="2" t="s">
        <v>2644</v>
      </c>
      <c r="R2752" s="11">
        <f>SUBTOTAL(3,_xlfn.SINGLE(tbl_file[RowId]))</f>
        <v>1</v>
      </c>
    </row>
    <row r="2753" spans="10:18">
      <c r="J2753" s="4">
        <v>1098</v>
      </c>
      <c r="K2753" s="21" t="str">
        <f>HYPERLINK("obsidian://open?vault=o2&amp;file=%F0%9F%A6%8B%20Art.md","🦋 Art")</f>
        <v>🦋 Art</v>
      </c>
      <c r="L2753" s="20" t="s">
        <v>175</v>
      </c>
      <c r="M2753" s="4"/>
      <c r="N2753" s="2" t="s">
        <v>50</v>
      </c>
      <c r="O2753" s="2"/>
      <c r="P2753" s="4">
        <v>1</v>
      </c>
      <c r="Q2753" s="2" t="s">
        <v>1600</v>
      </c>
      <c r="R2753" s="11">
        <f>SUBTOTAL(3,_xlfn.SINGLE(tbl_file[RowId]))</f>
        <v>1</v>
      </c>
    </row>
    <row r="2754" spans="10:18">
      <c r="J2754" s="4">
        <v>1099</v>
      </c>
      <c r="K2754" s="21" t="str">
        <f>HYPERLINK("obsidian://open?vault=o2&amp;file=%F0%9F%A6%8B%20Art.md","🦋 Art")</f>
        <v>🦋 Art</v>
      </c>
      <c r="L2754" s="20" t="s">
        <v>175</v>
      </c>
      <c r="M2754" s="4"/>
      <c r="N2754" s="2" t="s">
        <v>123</v>
      </c>
      <c r="O2754" s="2"/>
      <c r="P2754" s="4">
        <v>1</v>
      </c>
      <c r="Q2754" s="2" t="s">
        <v>1580</v>
      </c>
      <c r="R2754" s="11">
        <f>SUBTOTAL(3,_xlfn.SINGLE(tbl_file[RowId]))</f>
        <v>1</v>
      </c>
    </row>
    <row r="2755" spans="10:18">
      <c r="J2755" s="4">
        <v>1100</v>
      </c>
      <c r="K2755" s="21" t="str">
        <f>HYPERLINK("obsidian://open?vault=o2&amp;file=%F0%9F%A6%8B%20Art.md","🦋 Art")</f>
        <v>🦋 Art</v>
      </c>
      <c r="L2755" s="20" t="s">
        <v>175</v>
      </c>
      <c r="M2755" s="4"/>
      <c r="N2755" s="2" t="s">
        <v>2606</v>
      </c>
      <c r="O2755" s="2"/>
      <c r="P2755" s="4">
        <v>3</v>
      </c>
      <c r="Q2755" s="2" t="s">
        <v>2982</v>
      </c>
      <c r="R2755" s="11">
        <f>SUBTOTAL(3,_xlfn.SINGLE(tbl_file[RowId]))</f>
        <v>1</v>
      </c>
    </row>
    <row r="2756" spans="10:18">
      <c r="J2756" s="4">
        <v>1101</v>
      </c>
      <c r="K2756" s="21" t="str">
        <f>HYPERLINK("obsidian://open?vault=o2&amp;file=%F0%9F%A6%8B%20Astronomy.md","🦋 Astronomy")</f>
        <v>🦋 Astronomy</v>
      </c>
      <c r="L2756" s="20" t="s">
        <v>175</v>
      </c>
      <c r="M2756" s="4"/>
      <c r="N2756" s="2" t="s">
        <v>23</v>
      </c>
      <c r="O2756" s="2"/>
      <c r="P2756" s="4">
        <v>2</v>
      </c>
      <c r="Q2756" s="2" t="s">
        <v>2644</v>
      </c>
      <c r="R2756" s="11">
        <f>SUBTOTAL(3,_xlfn.SINGLE(tbl_file[RowId]))</f>
        <v>1</v>
      </c>
    </row>
    <row r="2757" spans="10:18">
      <c r="J2757" s="4">
        <v>1102</v>
      </c>
      <c r="K2757" s="21" t="str">
        <f>HYPERLINK("obsidian://open?vault=o2&amp;file=%F0%9F%A6%8B%20Astronomy.md","🦋 Astronomy")</f>
        <v>🦋 Astronomy</v>
      </c>
      <c r="L2757" s="20" t="s">
        <v>175</v>
      </c>
      <c r="M2757" s="4"/>
      <c r="N2757" s="2" t="s">
        <v>50</v>
      </c>
      <c r="O2757" s="2"/>
      <c r="P2757" s="4">
        <v>1</v>
      </c>
      <c r="Q2757" s="2" t="s">
        <v>1600</v>
      </c>
      <c r="R2757" s="11">
        <f>SUBTOTAL(3,_xlfn.SINGLE(tbl_file[RowId]))</f>
        <v>1</v>
      </c>
    </row>
    <row r="2758" spans="10:18">
      <c r="J2758" s="4">
        <v>1103</v>
      </c>
      <c r="K2758" s="21" t="str">
        <f>HYPERLINK("obsidian://open?vault=o2&amp;file=%F0%9F%A6%8B%20Astronomy.md","🦋 Astronomy")</f>
        <v>🦋 Astronomy</v>
      </c>
      <c r="L2758" s="20" t="s">
        <v>175</v>
      </c>
      <c r="M2758" s="4"/>
      <c r="N2758" s="2" t="s">
        <v>123</v>
      </c>
      <c r="O2758" s="2"/>
      <c r="P2758" s="4">
        <v>1</v>
      </c>
      <c r="Q2758" s="2" t="s">
        <v>1855</v>
      </c>
      <c r="R2758" s="11">
        <f>SUBTOTAL(3,_xlfn.SINGLE(tbl_file[RowId]))</f>
        <v>1</v>
      </c>
    </row>
    <row r="2759" spans="10:18">
      <c r="J2759" s="4">
        <v>1104</v>
      </c>
      <c r="K2759" s="21" t="str">
        <f>HYPERLINK("obsidian://open?vault=o2&amp;file=%F0%9F%A6%8B%20Astronomy.md","🦋 Astronomy")</f>
        <v>🦋 Astronomy</v>
      </c>
      <c r="L2759" s="20" t="s">
        <v>175</v>
      </c>
      <c r="M2759" s="4"/>
      <c r="N2759" s="2" t="s">
        <v>2606</v>
      </c>
      <c r="O2759" s="2"/>
      <c r="P2759" s="4">
        <v>3</v>
      </c>
      <c r="Q2759" s="2" t="s">
        <v>2983</v>
      </c>
      <c r="R2759" s="11">
        <f>SUBTOTAL(3,_xlfn.SINGLE(tbl_file[RowId]))</f>
        <v>1</v>
      </c>
    </row>
    <row r="2760" spans="10:18">
      <c r="J2760" s="4">
        <v>1203</v>
      </c>
      <c r="K2760" s="21" t="str">
        <f>HYPERLINK("obsidian://open?vault=o2&amp;file=%F0%9F%A6%8B%20Brain2.md","🦋 Brain2")</f>
        <v>🦋 Brain2</v>
      </c>
      <c r="L2760" s="20" t="s">
        <v>175</v>
      </c>
      <c r="M2760" s="4"/>
      <c r="N2760" s="2" t="s">
        <v>23</v>
      </c>
      <c r="O2760" s="2"/>
      <c r="P2760" s="4">
        <v>2</v>
      </c>
      <c r="Q2760" s="2" t="s">
        <v>2644</v>
      </c>
      <c r="R2760" s="11">
        <f>SUBTOTAL(3,_xlfn.SINGLE(tbl_file[RowId]))</f>
        <v>1</v>
      </c>
    </row>
    <row r="2761" spans="10:18">
      <c r="J2761" s="4">
        <v>1204</v>
      </c>
      <c r="K2761" s="21" t="str">
        <f>HYPERLINK("obsidian://open?vault=o2&amp;file=%F0%9F%A6%8B%20Brain2.md","🦋 Brain2")</f>
        <v>🦋 Brain2</v>
      </c>
      <c r="L2761" s="20" t="s">
        <v>175</v>
      </c>
      <c r="M2761" s="4"/>
      <c r="N2761" s="2" t="s">
        <v>50</v>
      </c>
      <c r="O2761" s="2"/>
      <c r="P2761" s="4">
        <v>1</v>
      </c>
      <c r="Q2761" s="2" t="s">
        <v>1600</v>
      </c>
      <c r="R2761" s="11">
        <f>SUBTOTAL(3,_xlfn.SINGLE(tbl_file[RowId]))</f>
        <v>1</v>
      </c>
    </row>
    <row r="2762" spans="10:18">
      <c r="J2762" s="4">
        <v>1205</v>
      </c>
      <c r="K2762" s="21" t="str">
        <f>HYPERLINK("obsidian://open?vault=o2&amp;file=%F0%9F%A6%8B%20Brain2.md","🦋 Brain2")</f>
        <v>🦋 Brain2</v>
      </c>
      <c r="L2762" s="20" t="s">
        <v>175</v>
      </c>
      <c r="M2762" s="4"/>
      <c r="N2762" s="2" t="s">
        <v>123</v>
      </c>
      <c r="O2762" s="2"/>
      <c r="P2762" s="4">
        <v>1</v>
      </c>
      <c r="Q2762" s="2" t="s">
        <v>1564</v>
      </c>
      <c r="R2762" s="11">
        <f>SUBTOTAL(3,_xlfn.SINGLE(tbl_file[RowId]))</f>
        <v>1</v>
      </c>
    </row>
    <row r="2763" spans="10:18">
      <c r="J2763" s="4">
        <v>1206</v>
      </c>
      <c r="K2763" s="21" t="str">
        <f>HYPERLINK("obsidian://open?vault=o2&amp;file=%F0%9F%A6%8B%20Brain2.md","🦋 Brain2")</f>
        <v>🦋 Brain2</v>
      </c>
      <c r="L2763" s="20" t="s">
        <v>175</v>
      </c>
      <c r="M2763" s="4"/>
      <c r="N2763" s="2" t="s">
        <v>2606</v>
      </c>
      <c r="O2763" s="2"/>
      <c r="P2763" s="4">
        <v>3</v>
      </c>
      <c r="Q2763" s="2" t="s">
        <v>3001</v>
      </c>
      <c r="R2763" s="11">
        <f>SUBTOTAL(3,_xlfn.SINGLE(tbl_file[RowId]))</f>
        <v>1</v>
      </c>
    </row>
    <row r="2764" spans="10:18">
      <c r="J2764" s="4">
        <v>1211</v>
      </c>
      <c r="K2764" s="21" t="str">
        <f>HYPERLINK("obsidian://open?vault=o2&amp;file=%F0%9F%A6%8B%20Cheatsheets.md","🦋 Cheatsheets")</f>
        <v>🦋 Cheatsheets</v>
      </c>
      <c r="L2764" s="20" t="s">
        <v>175</v>
      </c>
      <c r="M2764" s="4"/>
      <c r="N2764" s="2" t="s">
        <v>23</v>
      </c>
      <c r="O2764" s="2"/>
      <c r="P2764" s="4">
        <v>2</v>
      </c>
      <c r="Q2764" s="2" t="s">
        <v>2644</v>
      </c>
      <c r="R2764" s="11">
        <f>SUBTOTAL(3,_xlfn.SINGLE(tbl_file[RowId]))</f>
        <v>1</v>
      </c>
    </row>
    <row r="2765" spans="10:18">
      <c r="J2765" s="4">
        <v>1212</v>
      </c>
      <c r="K2765" s="21" t="str">
        <f>HYPERLINK("obsidian://open?vault=o2&amp;file=%F0%9F%A6%8B%20Cheatsheets.md","🦋 Cheatsheets")</f>
        <v>🦋 Cheatsheets</v>
      </c>
      <c r="L2765" s="20" t="s">
        <v>175</v>
      </c>
      <c r="M2765" s="4"/>
      <c r="N2765" s="2" t="s">
        <v>50</v>
      </c>
      <c r="O2765" s="2"/>
      <c r="P2765" s="4">
        <v>1</v>
      </c>
      <c r="Q2765" s="2" t="s">
        <v>1600</v>
      </c>
      <c r="R2765" s="11">
        <f>SUBTOTAL(3,_xlfn.SINGLE(tbl_file[RowId]))</f>
        <v>1</v>
      </c>
    </row>
    <row r="2766" spans="10:18">
      <c r="J2766" s="4">
        <v>1213</v>
      </c>
      <c r="K2766" s="21" t="str">
        <f>HYPERLINK("obsidian://open?vault=o2&amp;file=%F0%9F%A6%8B%20Cheatsheets.md","🦋 Cheatsheets")</f>
        <v>🦋 Cheatsheets</v>
      </c>
      <c r="L2766" s="20" t="s">
        <v>175</v>
      </c>
      <c r="M2766" s="4"/>
      <c r="N2766" s="2" t="s">
        <v>123</v>
      </c>
      <c r="O2766" s="2"/>
      <c r="P2766" s="4">
        <v>1</v>
      </c>
      <c r="Q2766" s="2" t="s">
        <v>1858</v>
      </c>
      <c r="R2766" s="11">
        <f>SUBTOTAL(3,_xlfn.SINGLE(tbl_file[RowId]))</f>
        <v>1</v>
      </c>
    </row>
    <row r="2767" spans="10:18">
      <c r="J2767" s="4">
        <v>1214</v>
      </c>
      <c r="K2767" s="21" t="str">
        <f>HYPERLINK("obsidian://open?vault=o2&amp;file=%F0%9F%A6%8B%20Cheatsheets.md","🦋 Cheatsheets")</f>
        <v>🦋 Cheatsheets</v>
      </c>
      <c r="L2767" s="20" t="s">
        <v>175</v>
      </c>
      <c r="M2767" s="4"/>
      <c r="N2767" s="2" t="s">
        <v>2606</v>
      </c>
      <c r="O2767" s="2"/>
      <c r="P2767" s="4">
        <v>3</v>
      </c>
      <c r="Q2767" s="2" t="s">
        <v>3003</v>
      </c>
      <c r="R2767" s="11">
        <f>SUBTOTAL(3,_xlfn.SINGLE(tbl_file[RowId]))</f>
        <v>1</v>
      </c>
    </row>
    <row r="2768" spans="10:18">
      <c r="J2768" s="4">
        <v>1234</v>
      </c>
      <c r="K2768" s="21" t="str">
        <f>HYPERLINK("obsidian://open?vault=o2&amp;file=%F0%9F%A6%8B%20Coding.md","🦋 Coding")</f>
        <v>🦋 Coding</v>
      </c>
      <c r="L2768" s="20" t="s">
        <v>175</v>
      </c>
      <c r="M2768" s="4"/>
      <c r="N2768" s="2" t="s">
        <v>23</v>
      </c>
      <c r="O2768" s="2"/>
      <c r="P2768" s="4">
        <v>2</v>
      </c>
      <c r="Q2768" s="2" t="s">
        <v>2644</v>
      </c>
      <c r="R2768" s="11">
        <f>SUBTOTAL(3,_xlfn.SINGLE(tbl_file[RowId]))</f>
        <v>1</v>
      </c>
    </row>
    <row r="2769" spans="10:18">
      <c r="J2769" s="4">
        <v>1235</v>
      </c>
      <c r="K2769" s="21" t="str">
        <f>HYPERLINK("obsidian://open?vault=o2&amp;file=%F0%9F%A6%8B%20Coding.md","🦋 Coding")</f>
        <v>🦋 Coding</v>
      </c>
      <c r="L2769" s="20" t="s">
        <v>175</v>
      </c>
      <c r="M2769" s="4"/>
      <c r="N2769" s="2" t="s">
        <v>50</v>
      </c>
      <c r="O2769" s="2"/>
      <c r="P2769" s="4">
        <v>1</v>
      </c>
      <c r="Q2769" s="2" t="s">
        <v>1600</v>
      </c>
      <c r="R2769" s="11">
        <f>SUBTOTAL(3,_xlfn.SINGLE(tbl_file[RowId]))</f>
        <v>1</v>
      </c>
    </row>
    <row r="2770" spans="10:18">
      <c r="J2770" s="4">
        <v>1236</v>
      </c>
      <c r="K2770" s="21" t="str">
        <f>HYPERLINK("obsidian://open?vault=o2&amp;file=%F0%9F%A6%8B%20Coding.md","🦋 Coding")</f>
        <v>🦋 Coding</v>
      </c>
      <c r="L2770" s="20" t="s">
        <v>175</v>
      </c>
      <c r="M2770" s="4"/>
      <c r="N2770" s="2" t="s">
        <v>123</v>
      </c>
      <c r="O2770" s="2"/>
      <c r="P2770" s="4">
        <v>1</v>
      </c>
      <c r="Q2770" s="2" t="s">
        <v>1813</v>
      </c>
      <c r="R2770" s="11">
        <f>SUBTOTAL(3,_xlfn.SINGLE(tbl_file[RowId]))</f>
        <v>1</v>
      </c>
    </row>
    <row r="2771" spans="10:18">
      <c r="J2771" s="4">
        <v>1237</v>
      </c>
      <c r="K2771" s="21" t="str">
        <f>HYPERLINK("obsidian://open?vault=o2&amp;file=%F0%9F%A6%8B%20Coding.md","🦋 Coding")</f>
        <v>🦋 Coding</v>
      </c>
      <c r="L2771" s="20" t="s">
        <v>175</v>
      </c>
      <c r="M2771" s="4"/>
      <c r="N2771" s="2" t="s">
        <v>2606</v>
      </c>
      <c r="O2771" s="2"/>
      <c r="P2771" s="4">
        <v>3</v>
      </c>
      <c r="Q2771" s="2" t="s">
        <v>3007</v>
      </c>
      <c r="R2771" s="11">
        <f>SUBTOTAL(3,_xlfn.SINGLE(tbl_file[RowId]))</f>
        <v>1</v>
      </c>
    </row>
    <row r="2772" spans="10:18">
      <c r="J2772" s="4">
        <v>1264</v>
      </c>
      <c r="K2772" s="21" t="str">
        <f>HYPERLINK("obsidian://open?vault=o2&amp;file=%F0%9F%A6%8B%20Computers.md","🦋 Computers")</f>
        <v>🦋 Computers</v>
      </c>
      <c r="L2772" s="20" t="s">
        <v>175</v>
      </c>
      <c r="M2772" s="4"/>
      <c r="N2772" s="2" t="s">
        <v>23</v>
      </c>
      <c r="O2772" s="2"/>
      <c r="P2772" s="4">
        <v>2</v>
      </c>
      <c r="Q2772" s="2" t="s">
        <v>2644</v>
      </c>
      <c r="R2772" s="11">
        <f>SUBTOTAL(3,_xlfn.SINGLE(tbl_file[RowId]))</f>
        <v>1</v>
      </c>
    </row>
    <row r="2773" spans="10:18">
      <c r="J2773" s="4">
        <v>1265</v>
      </c>
      <c r="K2773" s="21" t="str">
        <f>HYPERLINK("obsidian://open?vault=o2&amp;file=%F0%9F%A6%8B%20Computers.md","🦋 Computers")</f>
        <v>🦋 Computers</v>
      </c>
      <c r="L2773" s="20" t="s">
        <v>175</v>
      </c>
      <c r="M2773" s="4"/>
      <c r="N2773" s="2" t="s">
        <v>50</v>
      </c>
      <c r="O2773" s="2"/>
      <c r="P2773" s="4">
        <v>1</v>
      </c>
      <c r="Q2773" s="2" t="s">
        <v>1600</v>
      </c>
      <c r="R2773" s="11">
        <f>SUBTOTAL(3,_xlfn.SINGLE(tbl_file[RowId]))</f>
        <v>1</v>
      </c>
    </row>
    <row r="2774" spans="10:18">
      <c r="J2774" s="4">
        <v>1266</v>
      </c>
      <c r="K2774" s="21" t="str">
        <f>HYPERLINK("obsidian://open?vault=o2&amp;file=%F0%9F%A6%8B%20Computers.md","🦋 Computers")</f>
        <v>🦋 Computers</v>
      </c>
      <c r="L2774" s="20" t="s">
        <v>175</v>
      </c>
      <c r="M2774" s="4"/>
      <c r="N2774" s="2" t="s">
        <v>123</v>
      </c>
      <c r="O2774" s="2"/>
      <c r="P2774" s="4">
        <v>1</v>
      </c>
      <c r="Q2774" s="2" t="s">
        <v>1861</v>
      </c>
      <c r="R2774" s="11">
        <f>SUBTOTAL(3,_xlfn.SINGLE(tbl_file[RowId]))</f>
        <v>1</v>
      </c>
    </row>
    <row r="2775" spans="10:18">
      <c r="J2775" s="4">
        <v>1267</v>
      </c>
      <c r="K2775" s="21" t="str">
        <f>HYPERLINK("obsidian://open?vault=o2&amp;file=%F0%9F%A6%8B%20Computers.md","🦋 Computers")</f>
        <v>🦋 Computers</v>
      </c>
      <c r="L2775" s="20" t="s">
        <v>175</v>
      </c>
      <c r="M2775" s="4"/>
      <c r="N2775" s="2" t="s">
        <v>2606</v>
      </c>
      <c r="O2775" s="2"/>
      <c r="P2775" s="4">
        <v>3</v>
      </c>
      <c r="Q2775" s="2" t="s">
        <v>3011</v>
      </c>
      <c r="R2775" s="11">
        <f>SUBTOTAL(3,_xlfn.SINGLE(tbl_file[RowId]))</f>
        <v>1</v>
      </c>
    </row>
    <row r="2776" spans="10:18">
      <c r="J2776" s="4">
        <v>1276</v>
      </c>
      <c r="K2776" s="21" t="str">
        <f>HYPERLINK("obsidian://open?vault=o2&amp;file=%F0%9F%A6%8B%20Cooking.md","🦋 Cooking")</f>
        <v>🦋 Cooking</v>
      </c>
      <c r="L2776" s="20" t="s">
        <v>175</v>
      </c>
      <c r="M2776" s="4"/>
      <c r="N2776" s="2" t="s">
        <v>23</v>
      </c>
      <c r="O2776" s="2"/>
      <c r="P2776" s="4">
        <v>2</v>
      </c>
      <c r="Q2776" s="2" t="s">
        <v>2644</v>
      </c>
      <c r="R2776" s="11">
        <f>SUBTOTAL(3,_xlfn.SINGLE(tbl_file[RowId]))</f>
        <v>1</v>
      </c>
    </row>
    <row r="2777" spans="10:18">
      <c r="J2777" s="4">
        <v>1277</v>
      </c>
      <c r="K2777" s="21" t="str">
        <f>HYPERLINK("obsidian://open?vault=o2&amp;file=%F0%9F%A6%8B%20Cooking.md","🦋 Cooking")</f>
        <v>🦋 Cooking</v>
      </c>
      <c r="L2777" s="20" t="s">
        <v>175</v>
      </c>
      <c r="M2777" s="4"/>
      <c r="N2777" s="2" t="s">
        <v>50</v>
      </c>
      <c r="O2777" s="2"/>
      <c r="P2777" s="4">
        <v>1</v>
      </c>
      <c r="Q2777" s="2" t="s">
        <v>1600</v>
      </c>
      <c r="R2777" s="11">
        <f>SUBTOTAL(3,_xlfn.SINGLE(tbl_file[RowId]))</f>
        <v>1</v>
      </c>
    </row>
    <row r="2778" spans="10:18">
      <c r="J2778" s="4">
        <v>1278</v>
      </c>
      <c r="K2778" s="21" t="str">
        <f>HYPERLINK("obsidian://open?vault=o2&amp;file=%F0%9F%A6%8B%20Cooking.md","🦋 Cooking")</f>
        <v>🦋 Cooking</v>
      </c>
      <c r="L2778" s="20" t="s">
        <v>175</v>
      </c>
      <c r="M2778" s="4"/>
      <c r="N2778" s="2" t="s">
        <v>123</v>
      </c>
      <c r="O2778" s="2"/>
      <c r="P2778" s="4">
        <v>1</v>
      </c>
      <c r="Q2778" s="2" t="s">
        <v>1694</v>
      </c>
      <c r="R2778" s="11">
        <f>SUBTOTAL(3,_xlfn.SINGLE(tbl_file[RowId]))</f>
        <v>1</v>
      </c>
    </row>
    <row r="2779" spans="10:18">
      <c r="J2779" s="4">
        <v>1279</v>
      </c>
      <c r="K2779" s="21" t="str">
        <f>HYPERLINK("obsidian://open?vault=o2&amp;file=%F0%9F%A6%8B%20Cooking.md","🦋 Cooking")</f>
        <v>🦋 Cooking</v>
      </c>
      <c r="L2779" s="20" t="s">
        <v>175</v>
      </c>
      <c r="M2779" s="4"/>
      <c r="N2779" s="2" t="s">
        <v>2606</v>
      </c>
      <c r="O2779" s="2"/>
      <c r="P2779" s="4">
        <v>3</v>
      </c>
      <c r="Q2779" s="2" t="s">
        <v>3013</v>
      </c>
      <c r="R2779" s="11">
        <f>SUBTOTAL(3,_xlfn.SINGLE(tbl_file[RowId]))</f>
        <v>1</v>
      </c>
    </row>
    <row r="2780" spans="10:18">
      <c r="J2780" s="4">
        <v>1280</v>
      </c>
      <c r="K2780" s="21" t="str">
        <f>HYPERLINK("obsidian://open?vault=o2&amp;file=%F0%9F%A6%8B%20Design.md","🦋 Design")</f>
        <v>🦋 Design</v>
      </c>
      <c r="L2780" s="20" t="s">
        <v>175</v>
      </c>
      <c r="M2780" s="4"/>
      <c r="N2780" s="2" t="s">
        <v>23</v>
      </c>
      <c r="O2780" s="2"/>
      <c r="P2780" s="4">
        <v>2</v>
      </c>
      <c r="Q2780" s="2" t="s">
        <v>2644</v>
      </c>
      <c r="R2780" s="11">
        <f>SUBTOTAL(3,_xlfn.SINGLE(tbl_file[RowId]))</f>
        <v>1</v>
      </c>
    </row>
    <row r="2781" spans="10:18">
      <c r="J2781" s="4">
        <v>1281</v>
      </c>
      <c r="K2781" s="21" t="str">
        <f>HYPERLINK("obsidian://open?vault=o2&amp;file=%F0%9F%A6%8B%20Design.md","🦋 Design")</f>
        <v>🦋 Design</v>
      </c>
      <c r="L2781" s="20" t="s">
        <v>175</v>
      </c>
      <c r="M2781" s="4"/>
      <c r="N2781" s="2" t="s">
        <v>50</v>
      </c>
      <c r="O2781" s="2"/>
      <c r="P2781" s="4">
        <v>1</v>
      </c>
      <c r="Q2781" s="2" t="s">
        <v>1600</v>
      </c>
      <c r="R2781" s="11">
        <f>SUBTOTAL(3,_xlfn.SINGLE(tbl_file[RowId]))</f>
        <v>1</v>
      </c>
    </row>
    <row r="2782" spans="10:18">
      <c r="J2782" s="4">
        <v>1282</v>
      </c>
      <c r="K2782" s="21" t="str">
        <f>HYPERLINK("obsidian://open?vault=o2&amp;file=%F0%9F%A6%8B%20Design.md","🦋 Design")</f>
        <v>🦋 Design</v>
      </c>
      <c r="L2782" s="20" t="s">
        <v>175</v>
      </c>
      <c r="M2782" s="4"/>
      <c r="N2782" s="2" t="s">
        <v>123</v>
      </c>
      <c r="O2782" s="2"/>
      <c r="P2782" s="4">
        <v>1</v>
      </c>
      <c r="Q2782" s="2" t="s">
        <v>1864</v>
      </c>
      <c r="R2782" s="11">
        <f>SUBTOTAL(3,_xlfn.SINGLE(tbl_file[RowId]))</f>
        <v>1</v>
      </c>
    </row>
    <row r="2783" spans="10:18">
      <c r="J2783" s="4">
        <v>1283</v>
      </c>
      <c r="K2783" s="21" t="str">
        <f>HYPERLINK("obsidian://open?vault=o2&amp;file=%F0%9F%A6%8B%20Design.md","🦋 Design")</f>
        <v>🦋 Design</v>
      </c>
      <c r="L2783" s="20" t="s">
        <v>175</v>
      </c>
      <c r="M2783" s="4"/>
      <c r="N2783" s="2" t="s">
        <v>2606</v>
      </c>
      <c r="O2783" s="2"/>
      <c r="P2783" s="4">
        <v>3</v>
      </c>
      <c r="Q2783" s="2" t="s">
        <v>3014</v>
      </c>
      <c r="R2783" s="11">
        <f>SUBTOTAL(3,_xlfn.SINGLE(tbl_file[RowId]))</f>
        <v>1</v>
      </c>
    </row>
    <row r="2784" spans="10:18">
      <c r="J2784" s="4">
        <v>1284</v>
      </c>
      <c r="K2784" s="21" t="str">
        <f>HYPERLINK("obsidian://open?vault=o2&amp;file=%F0%9F%A6%8B%20Genealogy.md","🦋 Genealogy")</f>
        <v>🦋 Genealogy</v>
      </c>
      <c r="L2784" s="20" t="s">
        <v>175</v>
      </c>
      <c r="M2784" s="4"/>
      <c r="N2784" s="2" t="s">
        <v>23</v>
      </c>
      <c r="O2784" s="2"/>
      <c r="P2784" s="4">
        <v>2</v>
      </c>
      <c r="Q2784" s="2" t="s">
        <v>2644</v>
      </c>
      <c r="R2784" s="11">
        <f>SUBTOTAL(3,_xlfn.SINGLE(tbl_file[RowId]))</f>
        <v>1</v>
      </c>
    </row>
    <row r="2785" spans="10:18">
      <c r="J2785" s="4">
        <v>1285</v>
      </c>
      <c r="K2785" s="21" t="str">
        <f>HYPERLINK("obsidian://open?vault=o2&amp;file=%F0%9F%A6%8B%20Genealogy.md","🦋 Genealogy")</f>
        <v>🦋 Genealogy</v>
      </c>
      <c r="L2785" s="20" t="s">
        <v>175</v>
      </c>
      <c r="M2785" s="4"/>
      <c r="N2785" s="2" t="s">
        <v>50</v>
      </c>
      <c r="O2785" s="2"/>
      <c r="P2785" s="4">
        <v>1</v>
      </c>
      <c r="Q2785" s="2" t="s">
        <v>1600</v>
      </c>
      <c r="R2785" s="11">
        <f>SUBTOTAL(3,_xlfn.SINGLE(tbl_file[RowId]))</f>
        <v>1</v>
      </c>
    </row>
    <row r="2786" spans="10:18">
      <c r="J2786" s="4">
        <v>1286</v>
      </c>
      <c r="K2786" s="21" t="str">
        <f>HYPERLINK("obsidian://open?vault=o2&amp;file=%F0%9F%A6%8B%20Genealogy.md","🦋 Genealogy")</f>
        <v>🦋 Genealogy</v>
      </c>
      <c r="L2786" s="20" t="s">
        <v>175</v>
      </c>
      <c r="M2786" s="4"/>
      <c r="N2786" s="2" t="s">
        <v>123</v>
      </c>
      <c r="O2786" s="2"/>
      <c r="P2786" s="4">
        <v>1</v>
      </c>
      <c r="Q2786" s="2" t="s">
        <v>1866</v>
      </c>
      <c r="R2786" s="11">
        <f>SUBTOTAL(3,_xlfn.SINGLE(tbl_file[RowId]))</f>
        <v>1</v>
      </c>
    </row>
    <row r="2787" spans="10:18">
      <c r="J2787" s="4">
        <v>1287</v>
      </c>
      <c r="K2787" s="21" t="str">
        <f>HYPERLINK("obsidian://open?vault=o2&amp;file=%F0%9F%A6%8B%20Genealogy.md","🦋 Genealogy")</f>
        <v>🦋 Genealogy</v>
      </c>
      <c r="L2787" s="20" t="s">
        <v>175</v>
      </c>
      <c r="M2787" s="4"/>
      <c r="N2787" s="2" t="s">
        <v>2606</v>
      </c>
      <c r="O2787" s="2"/>
      <c r="P2787" s="4">
        <v>3</v>
      </c>
      <c r="Q2787" s="2" t="s">
        <v>3015</v>
      </c>
      <c r="R2787" s="11">
        <f>SUBTOTAL(3,_xlfn.SINGLE(tbl_file[RowId]))</f>
        <v>1</v>
      </c>
    </row>
    <row r="2788" spans="10:18">
      <c r="J2788" s="4">
        <v>1294</v>
      </c>
      <c r="K2788" s="21" t="str">
        <f>HYPERLINK("obsidian://open?vault=o2&amp;file=%F0%9F%A6%8B%20Home.md","🦋 Home")</f>
        <v>🦋 Home</v>
      </c>
      <c r="L2788" s="20" t="s">
        <v>175</v>
      </c>
      <c r="M2788" s="4"/>
      <c r="N2788" s="2" t="s">
        <v>21</v>
      </c>
      <c r="O2788" s="2"/>
      <c r="P2788" s="4">
        <v>2</v>
      </c>
      <c r="Q2788" s="2" t="s">
        <v>2644</v>
      </c>
      <c r="R2788" s="11">
        <f>SUBTOTAL(3,_xlfn.SINGLE(tbl_file[RowId]))</f>
        <v>1</v>
      </c>
    </row>
    <row r="2789" spans="10:18">
      <c r="J2789" s="4">
        <v>1295</v>
      </c>
      <c r="K2789" s="21" t="str">
        <f>HYPERLINK("obsidian://open?vault=o2&amp;file=%F0%9F%A6%8B%20Home.md","🦋 Home")</f>
        <v>🦋 Home</v>
      </c>
      <c r="L2789" s="20" t="s">
        <v>175</v>
      </c>
      <c r="M2789" s="4"/>
      <c r="N2789" s="2" t="s">
        <v>50</v>
      </c>
      <c r="O2789" s="2"/>
      <c r="P2789" s="4">
        <v>1</v>
      </c>
      <c r="Q2789" s="2" t="s">
        <v>1600</v>
      </c>
      <c r="R2789" s="11">
        <f>SUBTOTAL(3,_xlfn.SINGLE(tbl_file[RowId]))</f>
        <v>1</v>
      </c>
    </row>
    <row r="2790" spans="10:18">
      <c r="J2790" s="4">
        <v>1296</v>
      </c>
      <c r="K2790" s="21" t="str">
        <f>HYPERLINK("obsidian://open?vault=o2&amp;file=%F0%9F%A6%8B%20Home.md","🦋 Home")</f>
        <v>🦋 Home</v>
      </c>
      <c r="L2790" s="20" t="s">
        <v>175</v>
      </c>
      <c r="M2790" s="4"/>
      <c r="N2790" s="2" t="s">
        <v>2606</v>
      </c>
      <c r="O2790" s="2"/>
      <c r="P2790" s="4">
        <v>2</v>
      </c>
      <c r="Q2790" s="2" t="s">
        <v>3017</v>
      </c>
      <c r="R2790" s="11">
        <f>SUBTOTAL(3,_xlfn.SINGLE(tbl_file[RowId]))</f>
        <v>1</v>
      </c>
    </row>
    <row r="2791" spans="10:18">
      <c r="J2791" s="4">
        <v>1297</v>
      </c>
      <c r="K2791" s="21" t="str">
        <f>HYPERLINK("obsidian://open?vault=o2&amp;file=%F0%9F%A6%8B%20Media.md","🦋 Media")</f>
        <v>🦋 Media</v>
      </c>
      <c r="L2791" s="20" t="s">
        <v>175</v>
      </c>
      <c r="M2791" s="4"/>
      <c r="N2791" s="2" t="s">
        <v>23</v>
      </c>
      <c r="O2791" s="2"/>
      <c r="P2791" s="4">
        <v>2</v>
      </c>
      <c r="Q2791" s="2" t="s">
        <v>2644</v>
      </c>
      <c r="R2791" s="11">
        <f>SUBTOTAL(3,_xlfn.SINGLE(tbl_file[RowId]))</f>
        <v>1</v>
      </c>
    </row>
    <row r="2792" spans="10:18">
      <c r="J2792" s="4">
        <v>1298</v>
      </c>
      <c r="K2792" s="21" t="str">
        <f>HYPERLINK("obsidian://open?vault=o2&amp;file=%F0%9F%A6%8B%20Media.md","🦋 Media")</f>
        <v>🦋 Media</v>
      </c>
      <c r="L2792" s="20" t="s">
        <v>175</v>
      </c>
      <c r="M2792" s="4"/>
      <c r="N2792" s="2" t="s">
        <v>50</v>
      </c>
      <c r="O2792" s="2"/>
      <c r="P2792" s="4">
        <v>1</v>
      </c>
      <c r="Q2792" s="2" t="s">
        <v>1600</v>
      </c>
      <c r="R2792" s="11">
        <f>SUBTOTAL(3,_xlfn.SINGLE(tbl_file[RowId]))</f>
        <v>1</v>
      </c>
    </row>
    <row r="2793" spans="10:18">
      <c r="J2793" s="4">
        <v>1299</v>
      </c>
      <c r="K2793" s="21" t="str">
        <f>HYPERLINK("obsidian://open?vault=o2&amp;file=%F0%9F%A6%8B%20Media.md","🦋 Media")</f>
        <v>🦋 Media</v>
      </c>
      <c r="L2793" s="20" t="s">
        <v>175</v>
      </c>
      <c r="M2793" s="4"/>
      <c r="N2793" s="2" t="s">
        <v>123</v>
      </c>
      <c r="O2793" s="2"/>
      <c r="P2793" s="4">
        <v>1</v>
      </c>
      <c r="Q2793" s="2" t="s">
        <v>1645</v>
      </c>
      <c r="R2793" s="11">
        <f>SUBTOTAL(3,_xlfn.SINGLE(tbl_file[RowId]))</f>
        <v>1</v>
      </c>
    </row>
    <row r="2794" spans="10:18">
      <c r="J2794" s="4">
        <v>1300</v>
      </c>
      <c r="K2794" s="21" t="str">
        <f>HYPERLINK("obsidian://open?vault=o2&amp;file=%F0%9F%A6%8B%20Media.md","🦋 Media")</f>
        <v>🦋 Media</v>
      </c>
      <c r="L2794" s="20" t="s">
        <v>175</v>
      </c>
      <c r="M2794" s="4"/>
      <c r="N2794" s="2" t="s">
        <v>2606</v>
      </c>
      <c r="O2794" s="2"/>
      <c r="P2794" s="4">
        <v>3</v>
      </c>
      <c r="Q2794" s="2" t="s">
        <v>3018</v>
      </c>
      <c r="R2794" s="11">
        <f>SUBTOTAL(3,_xlfn.SINGLE(tbl_file[RowId]))</f>
        <v>1</v>
      </c>
    </row>
    <row r="2795" spans="10:18">
      <c r="J2795" s="4">
        <v>1303</v>
      </c>
      <c r="K2795" s="21" t="str">
        <f>HYPERLINK("obsidian://open?vault=o2&amp;file=%F0%9F%A6%8B%20Music.md","🦋 Music")</f>
        <v>🦋 Music</v>
      </c>
      <c r="L2795" s="20" t="s">
        <v>175</v>
      </c>
      <c r="M2795" s="4"/>
      <c r="N2795" s="2" t="s">
        <v>23</v>
      </c>
      <c r="O2795" s="2"/>
      <c r="P2795" s="4">
        <v>2</v>
      </c>
      <c r="Q2795" s="2" t="s">
        <v>2644</v>
      </c>
      <c r="R2795" s="11">
        <f>SUBTOTAL(3,_xlfn.SINGLE(tbl_file[RowId]))</f>
        <v>1</v>
      </c>
    </row>
    <row r="2796" spans="10:18">
      <c r="J2796" s="4">
        <v>1304</v>
      </c>
      <c r="K2796" s="21" t="str">
        <f>HYPERLINK("obsidian://open?vault=o2&amp;file=%F0%9F%A6%8B%20Music.md","🦋 Music")</f>
        <v>🦋 Music</v>
      </c>
      <c r="L2796" s="20" t="s">
        <v>175</v>
      </c>
      <c r="M2796" s="4"/>
      <c r="N2796" s="2" t="s">
        <v>50</v>
      </c>
      <c r="O2796" s="2"/>
      <c r="P2796" s="4">
        <v>1</v>
      </c>
      <c r="Q2796" s="2" t="s">
        <v>1600</v>
      </c>
      <c r="R2796" s="11">
        <f>SUBTOTAL(3,_xlfn.SINGLE(tbl_file[RowId]))</f>
        <v>1</v>
      </c>
    </row>
    <row r="2797" spans="10:18">
      <c r="J2797" s="4">
        <v>1305</v>
      </c>
      <c r="K2797" s="21" t="str">
        <f>HYPERLINK("obsidian://open?vault=o2&amp;file=%F0%9F%A6%8B%20Music.md","🦋 Music")</f>
        <v>🦋 Music</v>
      </c>
      <c r="L2797" s="20" t="s">
        <v>175</v>
      </c>
      <c r="M2797" s="4"/>
      <c r="N2797" s="2" t="s">
        <v>123</v>
      </c>
      <c r="O2797" s="2"/>
      <c r="P2797" s="4">
        <v>1</v>
      </c>
      <c r="Q2797" s="2" t="s">
        <v>1871</v>
      </c>
      <c r="R2797" s="11">
        <f>SUBTOTAL(3,_xlfn.SINGLE(tbl_file[RowId]))</f>
        <v>1</v>
      </c>
    </row>
    <row r="2798" spans="10:18">
      <c r="J2798" s="4">
        <v>1306</v>
      </c>
      <c r="K2798" s="21" t="str">
        <f>HYPERLINK("obsidian://open?vault=o2&amp;file=%F0%9F%A6%8B%20Music.md","🦋 Music")</f>
        <v>🦋 Music</v>
      </c>
      <c r="L2798" s="20" t="s">
        <v>175</v>
      </c>
      <c r="M2798" s="4"/>
      <c r="N2798" s="2" t="s">
        <v>2606</v>
      </c>
      <c r="O2798" s="2"/>
      <c r="P2798" s="4">
        <v>3</v>
      </c>
      <c r="Q2798" s="2" t="s">
        <v>3019</v>
      </c>
      <c r="R2798" s="11">
        <f>SUBTOTAL(3,_xlfn.SINGLE(tbl_file[RowId]))</f>
        <v>1</v>
      </c>
    </row>
    <row r="2799" spans="10:18">
      <c r="J2799" s="4">
        <v>1307</v>
      </c>
      <c r="K2799" s="21" t="str">
        <f>HYPERLINK("obsidian://open?vault=o2&amp;file=%F0%9F%A6%8B%20My%20Resources.md","🦋 My Resources")</f>
        <v>🦋 My Resources</v>
      </c>
      <c r="L2799" s="20" t="s">
        <v>175</v>
      </c>
      <c r="M2799" s="4"/>
      <c r="N2799" s="2" t="s">
        <v>21</v>
      </c>
      <c r="O2799" s="2"/>
      <c r="P2799" s="4">
        <v>2</v>
      </c>
      <c r="Q2799" s="2" t="s">
        <v>2644</v>
      </c>
      <c r="R2799" s="11">
        <f>SUBTOTAL(3,_xlfn.SINGLE(tbl_file[RowId]))</f>
        <v>1</v>
      </c>
    </row>
    <row r="2800" spans="10:18">
      <c r="J2800" s="4">
        <v>1308</v>
      </c>
      <c r="K2800" s="21" t="str">
        <f>HYPERLINK("obsidian://open?vault=o2&amp;file=%F0%9F%A6%8B%20My%20Resources.md","🦋 My Resources")</f>
        <v>🦋 My Resources</v>
      </c>
      <c r="L2800" s="20" t="s">
        <v>175</v>
      </c>
      <c r="M2800" s="4"/>
      <c r="N2800" s="2" t="s">
        <v>50</v>
      </c>
      <c r="O2800" s="2"/>
      <c r="P2800" s="4">
        <v>1</v>
      </c>
      <c r="Q2800" s="2" t="s">
        <v>1582</v>
      </c>
      <c r="R2800" s="11">
        <f>SUBTOTAL(3,_xlfn.SINGLE(tbl_file[RowId]))</f>
        <v>1</v>
      </c>
    </row>
    <row r="2801" spans="10:18">
      <c r="J2801" s="4">
        <v>1309</v>
      </c>
      <c r="K2801" s="21" t="str">
        <f>HYPERLINK("obsidian://open?vault=o2&amp;file=%F0%9F%A6%8B%20My%20Resources.md","🦋 My Resources")</f>
        <v>🦋 My Resources</v>
      </c>
      <c r="L2801" s="20" t="s">
        <v>175</v>
      </c>
      <c r="M2801" s="4"/>
      <c r="N2801" s="2" t="s">
        <v>2606</v>
      </c>
      <c r="O2801" s="2"/>
      <c r="P2801" s="4">
        <v>2</v>
      </c>
      <c r="Q2801" s="2" t="s">
        <v>3020</v>
      </c>
      <c r="R2801" s="11">
        <f>SUBTOTAL(3,_xlfn.SINGLE(tbl_file[RowId]))</f>
        <v>1</v>
      </c>
    </row>
    <row r="2802" spans="10:18">
      <c r="J2802" s="4">
        <v>1310</v>
      </c>
      <c r="K2802" s="21" t="str">
        <f>HYPERLINK("obsidian://open?vault=o2&amp;file=%F0%9F%A6%8B%20My%20Resources.md","🦋 My Resources")</f>
        <v>🦋 My Resources</v>
      </c>
      <c r="L2802" s="20" t="s">
        <v>175</v>
      </c>
      <c r="M2802" s="4"/>
      <c r="N2802" s="2" t="s">
        <v>133</v>
      </c>
      <c r="O2802" s="2"/>
      <c r="P2802" s="4">
        <v>1</v>
      </c>
      <c r="Q2802" s="2" t="s">
        <v>2107</v>
      </c>
      <c r="R2802" s="11">
        <f>SUBTOTAL(3,_xlfn.SINGLE(tbl_file[RowId]))</f>
        <v>1</v>
      </c>
    </row>
    <row r="2803" spans="10:18">
      <c r="J2803" s="4">
        <v>1311</v>
      </c>
      <c r="K2803" s="21" t="str">
        <f>HYPERLINK("obsidian://open?vault=o2&amp;file=%F0%9F%A6%8B%20Travel.md","🦋 Travel")</f>
        <v>🦋 Travel</v>
      </c>
      <c r="L2803" s="20" t="s">
        <v>175</v>
      </c>
      <c r="M2803" s="4"/>
      <c r="N2803" s="2" t="s">
        <v>23</v>
      </c>
      <c r="O2803" s="2"/>
      <c r="P2803" s="4">
        <v>2</v>
      </c>
      <c r="Q2803" s="2" t="s">
        <v>2644</v>
      </c>
      <c r="R2803" s="11">
        <f>SUBTOTAL(3,_xlfn.SINGLE(tbl_file[RowId]))</f>
        <v>1</v>
      </c>
    </row>
    <row r="2804" spans="10:18">
      <c r="J2804" s="4">
        <v>1312</v>
      </c>
      <c r="K2804" s="21" t="str">
        <f>HYPERLINK("obsidian://open?vault=o2&amp;file=%F0%9F%A6%8B%20Travel.md","🦋 Travel")</f>
        <v>🦋 Travel</v>
      </c>
      <c r="L2804" s="20" t="s">
        <v>175</v>
      </c>
      <c r="M2804" s="4"/>
      <c r="N2804" s="2" t="s">
        <v>50</v>
      </c>
      <c r="O2804" s="2"/>
      <c r="P2804" s="4">
        <v>1</v>
      </c>
      <c r="Q2804" s="2" t="s">
        <v>1600</v>
      </c>
      <c r="R2804" s="11">
        <f>SUBTOTAL(3,_xlfn.SINGLE(tbl_file[RowId]))</f>
        <v>1</v>
      </c>
    </row>
    <row r="2805" spans="10:18">
      <c r="J2805" s="4">
        <v>1313</v>
      </c>
      <c r="K2805" s="21" t="str">
        <f>HYPERLINK("obsidian://open?vault=o2&amp;file=%F0%9F%A6%8B%20Travel.md","🦋 Travel")</f>
        <v>🦋 Travel</v>
      </c>
      <c r="L2805" s="20" t="s">
        <v>175</v>
      </c>
      <c r="M2805" s="4"/>
      <c r="N2805" s="2" t="s">
        <v>123</v>
      </c>
      <c r="O2805" s="2"/>
      <c r="P2805" s="4">
        <v>1</v>
      </c>
      <c r="Q2805" s="2" t="s">
        <v>1873</v>
      </c>
      <c r="R2805" s="11">
        <f>SUBTOTAL(3,_xlfn.SINGLE(tbl_file[RowId]))</f>
        <v>1</v>
      </c>
    </row>
    <row r="2806" spans="10:18">
      <c r="J2806" s="4">
        <v>1314</v>
      </c>
      <c r="K2806" s="21" t="str">
        <f>HYPERLINK("obsidian://open?vault=o2&amp;file=%F0%9F%A6%8B%20Travel.md","🦋 Travel")</f>
        <v>🦋 Travel</v>
      </c>
      <c r="L2806" s="20" t="s">
        <v>175</v>
      </c>
      <c r="M2806" s="4"/>
      <c r="N2806" s="2" t="s">
        <v>2606</v>
      </c>
      <c r="O2806" s="2"/>
      <c r="P2806" s="4">
        <v>3</v>
      </c>
      <c r="Q2806" s="2" t="s">
        <v>3021</v>
      </c>
      <c r="R2806" s="11">
        <f>SUBTOTAL(3,_xlfn.SINGLE(tbl_file[RowId]))</f>
        <v>1</v>
      </c>
    </row>
    <row r="2807" spans="10:18">
      <c r="J2807" s="4">
        <v>1329</v>
      </c>
      <c r="K2807" s="21" t="str">
        <f>HYPERLINK("obsidian://open?vault=o2&amp;file=%F0%9F%A6%8B%20Writing.md","🦋 Writing")</f>
        <v>🦋 Writing</v>
      </c>
      <c r="L2807" s="20" t="s">
        <v>175</v>
      </c>
      <c r="M2807" s="4"/>
      <c r="N2807" s="2" t="s">
        <v>23</v>
      </c>
      <c r="O2807" s="2"/>
      <c r="P2807" s="4">
        <v>2</v>
      </c>
      <c r="Q2807" s="2" t="s">
        <v>2644</v>
      </c>
      <c r="R2807" s="11">
        <f>SUBTOTAL(3,_xlfn.SINGLE(tbl_file[RowId]))</f>
        <v>1</v>
      </c>
    </row>
    <row r="2808" spans="10:18">
      <c r="J2808" s="4">
        <v>1330</v>
      </c>
      <c r="K2808" s="21" t="str">
        <f>HYPERLINK("obsidian://open?vault=o2&amp;file=%F0%9F%A6%8B%20Writing.md","🦋 Writing")</f>
        <v>🦋 Writing</v>
      </c>
      <c r="L2808" s="20" t="s">
        <v>175</v>
      </c>
      <c r="M2808" s="4"/>
      <c r="N2808" s="2" t="s">
        <v>50</v>
      </c>
      <c r="O2808" s="2"/>
      <c r="P2808" s="4">
        <v>1</v>
      </c>
      <c r="Q2808" s="2" t="s">
        <v>1600</v>
      </c>
      <c r="R2808" s="11">
        <f>SUBTOTAL(3,_xlfn.SINGLE(tbl_file[RowId]))</f>
        <v>1</v>
      </c>
    </row>
    <row r="2809" spans="10:18">
      <c r="J2809" s="4">
        <v>1331</v>
      </c>
      <c r="K2809" s="21" t="str">
        <f>HYPERLINK("obsidian://open?vault=o2&amp;file=%F0%9F%A6%8B%20Writing.md","🦋 Writing")</f>
        <v>🦋 Writing</v>
      </c>
      <c r="L2809" s="20" t="s">
        <v>175</v>
      </c>
      <c r="M2809" s="4"/>
      <c r="N2809" s="2" t="s">
        <v>123</v>
      </c>
      <c r="O2809" s="2"/>
      <c r="P2809" s="4">
        <v>1</v>
      </c>
      <c r="Q2809" s="2" t="s">
        <v>1578</v>
      </c>
      <c r="R2809" s="11">
        <f>SUBTOTAL(3,_xlfn.SINGLE(tbl_file[RowId]))</f>
        <v>1</v>
      </c>
    </row>
    <row r="2810" spans="10:18">
      <c r="J2810" s="4">
        <v>1332</v>
      </c>
      <c r="K2810" s="21" t="str">
        <f>HYPERLINK("obsidian://open?vault=o2&amp;file=%F0%9F%A6%8B%20Writing.md","🦋 Writing")</f>
        <v>🦋 Writing</v>
      </c>
      <c r="L2810" s="20" t="s">
        <v>175</v>
      </c>
      <c r="M2810" s="4"/>
      <c r="N2810" s="2" t="s">
        <v>2606</v>
      </c>
      <c r="O2810" s="2"/>
      <c r="P2810" s="4">
        <v>3</v>
      </c>
      <c r="Q2810" s="2" t="s">
        <v>3022</v>
      </c>
      <c r="R2810" s="11">
        <f>SUBTOTAL(3,_xlfn.SINGLE(tbl_file[RowId]))</f>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A6312"/>
  </sheetPr>
  <dimension ref="A2:AH813"/>
  <sheetViews>
    <sheetView showGridLines="0" workbookViewId="0">
      <selection activeCell="C23" sqref="C23"/>
    </sheetView>
  </sheetViews>
  <sheetFormatPr defaultRowHeight="15"/>
  <cols>
    <col min="1" max="1" width="9.23046875" style="260"/>
    <col min="3" max="3" width="20" customWidth="1"/>
    <col min="4" max="5" width="15" customWidth="1"/>
    <col min="10" max="10" width="8" customWidth="1"/>
    <col min="11" max="11" width="30" customWidth="1"/>
    <col min="12" max="12" width="25" customWidth="1"/>
    <col min="13" max="13" width="17" customWidth="1"/>
    <col min="14" max="14" width="8" customWidth="1"/>
    <col min="15" max="15" width="25" customWidth="1"/>
    <col min="16" max="16" width="1.07421875" customWidth="1"/>
    <col min="17" max="17" width="25" customWidth="1"/>
    <col min="18" max="18" width="1.07421875" customWidth="1"/>
    <col min="19" max="19" width="25" customWidth="1"/>
    <col min="20" max="20" width="1.07421875" customWidth="1"/>
    <col min="21" max="21" width="25" customWidth="1"/>
    <col min="22" max="22" width="1.07421875" customWidth="1"/>
    <col min="23" max="23" width="25" customWidth="1"/>
    <col min="24" max="24" width="1.07421875" customWidth="1"/>
    <col min="25" max="25" width="25" customWidth="1"/>
    <col min="26" max="26" width="1.07421875" customWidth="1"/>
    <col min="27" max="27" width="25" customWidth="1"/>
    <col min="28" max="28" width="1.07421875" customWidth="1"/>
    <col min="29" max="29" width="25" customWidth="1"/>
    <col min="30" max="30" width="1.07421875" customWidth="1"/>
    <col min="31" max="31" width="25" customWidth="1"/>
    <col min="32" max="32" width="1.07421875" customWidth="1"/>
    <col min="33" max="33" width="25" customWidth="1"/>
    <col min="34" max="34" width="1.07421875" customWidth="1"/>
  </cols>
  <sheetData>
    <row r="2" spans="3:34" ht="29.5">
      <c r="C2" s="38" t="s">
        <v>3275</v>
      </c>
    </row>
    <row r="5" spans="3:34" ht="18">
      <c r="C5" s="39" t="s">
        <v>0</v>
      </c>
      <c r="D5" s="40" t="s">
        <v>140</v>
      </c>
      <c r="E5" s="40" t="s">
        <v>141</v>
      </c>
    </row>
    <row r="6" spans="3:34">
      <c r="C6" s="26" t="s">
        <v>2599</v>
      </c>
      <c r="D6" s="4">
        <f>COUNTA(_xlfn.UNIQUE(_xlfn._xlws.FILTER(tbl_code[Notes],tbl_code[IsVisible])))</f>
        <v>417</v>
      </c>
      <c r="E6" s="4">
        <f>_xlfn.AGGREGATE(3,3,tbl_code[Notes])</f>
        <v>803</v>
      </c>
    </row>
    <row r="7" spans="3:34">
      <c r="C7" s="26" t="s">
        <v>3276</v>
      </c>
      <c r="D7" s="4">
        <f>COUNTA(_xlfn.UNIQUE(_xlfn._xlws.FILTER(tbl_code[PluginID],tbl_code[IsVisible])))</f>
        <v>8</v>
      </c>
      <c r="E7" s="4">
        <f>_xlfn.AGGREGATE(3,3,tbl_code[PluginID])</f>
        <v>539</v>
      </c>
    </row>
    <row r="8" spans="3:34" ht="15.5">
      <c r="C8" s="26" t="s">
        <v>3277</v>
      </c>
      <c r="D8" s="4">
        <f>COUNTA(_xlfn.UNIQUE(_xlfn._xlws.FILTER(tbl_code[Signature],tbl_code[IsVisible])))</f>
        <v>25</v>
      </c>
      <c r="E8" s="4">
        <f>COUNTA(tbl_code[Signature])</f>
        <v>803</v>
      </c>
      <c r="K8" s="5" t="str">
        <f>IFERROR(IF(_xlfn.AGGREGATE(3,3,tbl_code[Signature])&lt;&gt;SUM(tbl_code[IsVisible]),"Properties w/Empty Values Detected!",""),"")</f>
        <v/>
      </c>
    </row>
    <row r="9" spans="3:34">
      <c r="C9" s="26" t="s">
        <v>7</v>
      </c>
      <c r="E9" s="4">
        <f>_xlfn.AGGREGATE(9,3,tbl_code[Count])</f>
        <v>1676</v>
      </c>
    </row>
    <row r="10" spans="3:34">
      <c r="J10" s="40" t="s">
        <v>8</v>
      </c>
      <c r="K10" s="41" t="s">
        <v>2599</v>
      </c>
      <c r="L10" s="41" t="s">
        <v>3276</v>
      </c>
      <c r="M10" s="41" t="s">
        <v>3277</v>
      </c>
      <c r="N10" s="41" t="s">
        <v>7</v>
      </c>
      <c r="O10" s="42" t="s">
        <v>3278</v>
      </c>
      <c r="P10" s="43" t="s">
        <v>145</v>
      </c>
      <c r="Q10" s="42" t="s">
        <v>3279</v>
      </c>
      <c r="R10" s="43" t="s">
        <v>147</v>
      </c>
      <c r="S10" s="42" t="s">
        <v>3280</v>
      </c>
      <c r="T10" s="43" t="s">
        <v>149</v>
      </c>
      <c r="U10" s="42" t="s">
        <v>3281</v>
      </c>
      <c r="V10" s="43" t="s">
        <v>151</v>
      </c>
      <c r="W10" s="42" t="s">
        <v>3282</v>
      </c>
      <c r="X10" s="43" t="s">
        <v>153</v>
      </c>
      <c r="Y10" s="42" t="s">
        <v>3283</v>
      </c>
      <c r="Z10" s="43" t="s">
        <v>155</v>
      </c>
      <c r="AA10" s="42" t="s">
        <v>3284</v>
      </c>
      <c r="AB10" s="43" t="s">
        <v>157</v>
      </c>
      <c r="AC10" s="42" t="s">
        <v>3285</v>
      </c>
      <c r="AD10" s="43" t="s">
        <v>159</v>
      </c>
      <c r="AE10" s="42" t="s">
        <v>3286</v>
      </c>
      <c r="AF10" s="43" t="s">
        <v>161</v>
      </c>
      <c r="AG10" s="42" t="s">
        <v>3287</v>
      </c>
      <c r="AH10" s="44" t="s">
        <v>9</v>
      </c>
    </row>
    <row r="11" spans="3:34">
      <c r="J11" s="4">
        <v>1</v>
      </c>
      <c r="K11" s="21" t="str">
        <f>HYPERLINK("obsidian://open?vault=o2&amp;file=0-Inbox.md","0-Inbox")</f>
        <v>0-Inbox</v>
      </c>
      <c r="L11" s="2" t="s">
        <v>3288</v>
      </c>
      <c r="M11" s="2" t="s">
        <v>3289</v>
      </c>
      <c r="N11" s="4">
        <v>1</v>
      </c>
      <c r="O11" s="2" t="s">
        <v>3290</v>
      </c>
      <c r="P11" s="11" t="s">
        <v>175</v>
      </c>
      <c r="AH11" s="11">
        <f>SUBTOTAL(3,_xlfn.SINGLE(tbl_code[RowId]))</f>
        <v>1</v>
      </c>
    </row>
    <row r="12" spans="3:34">
      <c r="J12" s="4">
        <v>2</v>
      </c>
      <c r="K12" s="21" t="str">
        <f>HYPERLINK("obsidian://open?vault=o2&amp;file=1-Projects.md","1-Projects")</f>
        <v>1-Projects</v>
      </c>
      <c r="L12" s="2" t="s">
        <v>3291</v>
      </c>
      <c r="M12" s="2" t="s">
        <v>3292</v>
      </c>
      <c r="N12" s="4">
        <v>1</v>
      </c>
      <c r="O12" s="2" t="s">
        <v>3293</v>
      </c>
      <c r="P12" s="11" t="s">
        <v>175</v>
      </c>
      <c r="AH12" s="11">
        <f>SUBTOTAL(3,_xlfn.SINGLE(tbl_code[RowId]))</f>
        <v>1</v>
      </c>
    </row>
    <row r="13" spans="3:34" ht="15.5">
      <c r="C13" s="5" t="str">
        <f>IFERROR(IF(COUNTA(tbl_code[RowId])&lt;&gt;SUM(tbl_code[IsVisible]),"Column filters applied--Totals now reflect column filters!",""),"")</f>
        <v/>
      </c>
      <c r="J13" s="4">
        <v>3</v>
      </c>
      <c r="K13" s="21" t="str">
        <f>HYPERLINK("obsidian://open?vault=o2&amp;file=1-Projects.md","1-Projects")</f>
        <v>1-Projects</v>
      </c>
      <c r="L13" s="2" t="s">
        <v>3288</v>
      </c>
      <c r="M13" s="2" t="s">
        <v>3289</v>
      </c>
      <c r="N13" s="4">
        <v>1</v>
      </c>
      <c r="O13" s="2" t="s">
        <v>3290</v>
      </c>
      <c r="P13" s="11" t="s">
        <v>175</v>
      </c>
      <c r="AH13" s="11">
        <f>SUBTOTAL(3,_xlfn.SINGLE(tbl_code[RowId]))</f>
        <v>1</v>
      </c>
    </row>
    <row r="14" spans="3:34">
      <c r="J14" s="4">
        <v>4</v>
      </c>
      <c r="K14" s="21" t="str">
        <f>HYPERLINK("obsidian://open?vault=o2&amp;file=How%20to%20Disable%20IPV6.md","How to Disable IPV6")</f>
        <v>How to Disable IPV6</v>
      </c>
      <c r="L14" s="2"/>
      <c r="M14" s="2" t="s">
        <v>3294</v>
      </c>
      <c r="N14" s="4">
        <v>2</v>
      </c>
      <c r="O14" s="2" t="s">
        <v>3295</v>
      </c>
      <c r="P14" s="11" t="s">
        <v>175</v>
      </c>
      <c r="Q14" s="2" t="s">
        <v>3296</v>
      </c>
      <c r="R14" s="11" t="s">
        <v>175</v>
      </c>
      <c r="AH14" s="11">
        <f>SUBTOTAL(3,_xlfn.SINGLE(tbl_code[RowId]))</f>
        <v>1</v>
      </c>
    </row>
    <row r="15" spans="3:34">
      <c r="J15" s="4">
        <v>5</v>
      </c>
      <c r="K15" s="21" t="str">
        <f>HYPERLINK("obsidian://open?vault=o2&amp;file=How%20to%20open%20an%20ssh%20powershell%20into%20CASAOS.md","How to open an ssh powershell into CASAOS")</f>
        <v>How to open an ssh powershell into CASAOS</v>
      </c>
      <c r="L15" s="2"/>
      <c r="M15" s="2" t="s">
        <v>3294</v>
      </c>
      <c r="N15" s="4">
        <v>2</v>
      </c>
      <c r="O15" s="2" t="s">
        <v>3297</v>
      </c>
      <c r="P15" s="11" t="s">
        <v>175</v>
      </c>
      <c r="Q15" s="2" t="s">
        <v>3298</v>
      </c>
      <c r="R15" s="11" t="s">
        <v>175</v>
      </c>
      <c r="AH15" s="11">
        <f>SUBTOTAL(3,_xlfn.SINGLE(tbl_code[RowId]))</f>
        <v>1</v>
      </c>
    </row>
    <row r="16" spans="3:34">
      <c r="J16" s="4">
        <v>6</v>
      </c>
      <c r="K16" s="21" t="str">
        <f>HYPERLINK("obsidian://open?vault=o2&amp;file=Install%20Nginx%20Proxy%20Manager%20on%20CasaOS.md","Install Nginx Proxy Manager on CasaOS")</f>
        <v>Install Nginx Proxy Manager on CasaOS</v>
      </c>
      <c r="L16" s="2"/>
      <c r="M16" s="2" t="s">
        <v>3294</v>
      </c>
      <c r="N16" s="4">
        <v>2</v>
      </c>
      <c r="O16" s="2" t="s">
        <v>3299</v>
      </c>
      <c r="P16" s="11" t="s">
        <v>175</v>
      </c>
      <c r="Q16" s="2" t="s">
        <v>3300</v>
      </c>
      <c r="R16" s="11" t="s">
        <v>175</v>
      </c>
      <c r="AH16" s="11">
        <f>SUBTOTAL(3,_xlfn.SINGLE(tbl_code[RowId]))</f>
        <v>1</v>
      </c>
    </row>
    <row r="17" spans="3:34">
      <c r="J17" s="4">
        <v>7</v>
      </c>
      <c r="K17" s="21" t="str">
        <f>HYPERLINK("obsidian://open?vault=o2&amp;file=Reset%20CasaOS%20Win%20Login.md","Reset CasaOS Win Login")</f>
        <v>Reset CasaOS Win Login</v>
      </c>
      <c r="L17" s="2"/>
      <c r="M17" s="2" t="s">
        <v>3294</v>
      </c>
      <c r="N17" s="4">
        <v>2</v>
      </c>
      <c r="O17" s="2" t="s">
        <v>3301</v>
      </c>
      <c r="P17" s="11" t="s">
        <v>175</v>
      </c>
      <c r="Q17" s="2" t="s">
        <v>3302</v>
      </c>
      <c r="R17" s="11" t="s">
        <v>175</v>
      </c>
      <c r="AH17" s="11">
        <f>SUBTOTAL(3,_xlfn.SINGLE(tbl_code[RowId]))</f>
        <v>1</v>
      </c>
    </row>
    <row r="18" spans="3:34">
      <c r="J18" s="4">
        <v>8</v>
      </c>
      <c r="K18" s="21" t="str">
        <f>HYPERLINK("obsidian://open?vault=o2&amp;file=Setup%20DDNS%20on%20Cloudflare.md","Setup DDNS on Cloudflare")</f>
        <v>Setup DDNS on Cloudflare</v>
      </c>
      <c r="L18" s="2"/>
      <c r="M18" s="2" t="s">
        <v>3294</v>
      </c>
      <c r="N18" s="4">
        <v>1</v>
      </c>
      <c r="O18" s="2" t="s">
        <v>3303</v>
      </c>
      <c r="P18" s="11" t="s">
        <v>175</v>
      </c>
      <c r="AH18" s="11">
        <f>SUBTOTAL(3,_xlfn.SINGLE(tbl_code[RowId]))</f>
        <v>1</v>
      </c>
    </row>
    <row r="19" spans="3:34">
      <c r="J19" s="4">
        <v>9</v>
      </c>
      <c r="K19" s="21" t="str">
        <f>HYPERLINK("obsidian://open?vault=o2&amp;file=Setup%20DuckDNS%20and%20ACME%20DNS-01.md","Setup DuckDNS and ACME DNS-01")</f>
        <v>Setup DuckDNS and ACME DNS-01</v>
      </c>
      <c r="L19" s="2"/>
      <c r="M19" s="2" t="s">
        <v>3294</v>
      </c>
      <c r="N19" s="4">
        <v>4</v>
      </c>
      <c r="O19" s="2" t="s">
        <v>3304</v>
      </c>
      <c r="P19" s="11" t="s">
        <v>175</v>
      </c>
      <c r="Q19" s="2" t="s">
        <v>3305</v>
      </c>
      <c r="R19" s="11" t="s">
        <v>175</v>
      </c>
      <c r="S19" s="2" t="s">
        <v>3306</v>
      </c>
      <c r="T19" s="11" t="s">
        <v>175</v>
      </c>
      <c r="U19" s="2" t="s">
        <v>3307</v>
      </c>
      <c r="V19" s="11" t="s">
        <v>175</v>
      </c>
      <c r="AH19" s="11">
        <f>SUBTOTAL(3,_xlfn.SINGLE(tbl_code[RowId]))</f>
        <v>1</v>
      </c>
    </row>
    <row r="20" spans="3:34">
      <c r="J20" s="4">
        <v>10</v>
      </c>
      <c r="K20" s="21" t="str">
        <f>HYPERLINK("obsidian://open?vault=o2&amp;file=Setup%20MariaDB%20and%20Wordpress.md","Setup MariaDB and Wordpress")</f>
        <v>Setup MariaDB and Wordpress</v>
      </c>
      <c r="L20" s="2"/>
      <c r="M20" s="2" t="s">
        <v>3294</v>
      </c>
      <c r="N20" s="4">
        <v>2</v>
      </c>
      <c r="O20" s="2" t="s">
        <v>3308</v>
      </c>
      <c r="P20" s="11" t="s">
        <v>175</v>
      </c>
      <c r="Q20" s="2" t="s">
        <v>3309</v>
      </c>
      <c r="R20" s="11" t="s">
        <v>175</v>
      </c>
      <c r="AH20" s="11">
        <f>SUBTOTAL(3,_xlfn.SINGLE(tbl_code[RowId]))</f>
        <v>1</v>
      </c>
    </row>
    <row r="21" spans="3:34">
      <c r="C21" s="41" t="s">
        <v>22</v>
      </c>
      <c r="J21" s="4">
        <v>11</v>
      </c>
      <c r="K21" s="21" t="str">
        <f>HYPERLINK("obsidian://open?vault=o2&amp;file=Setup%20Sabnzbd.md","Setup Sabnzbd")</f>
        <v>Setup Sabnzbd</v>
      </c>
      <c r="L21" s="2"/>
      <c r="M21" s="2" t="s">
        <v>3294</v>
      </c>
      <c r="N21" s="4">
        <v>13</v>
      </c>
      <c r="O21" s="2" t="s">
        <v>3310</v>
      </c>
      <c r="P21" s="11" t="s">
        <v>175</v>
      </c>
      <c r="Q21" s="2" t="s">
        <v>3311</v>
      </c>
      <c r="R21" s="11" t="s">
        <v>175</v>
      </c>
      <c r="S21" s="2" t="s">
        <v>3312</v>
      </c>
      <c r="T21" s="11" t="s">
        <v>175</v>
      </c>
      <c r="U21" s="2" t="s">
        <v>3313</v>
      </c>
      <c r="V21" s="11" t="s">
        <v>175</v>
      </c>
      <c r="W21" s="2" t="s">
        <v>3314</v>
      </c>
      <c r="X21" s="11" t="s">
        <v>175</v>
      </c>
      <c r="Y21" s="2" t="s">
        <v>3315</v>
      </c>
      <c r="Z21" s="11" t="s">
        <v>175</v>
      </c>
      <c r="AA21" s="2" t="s">
        <v>3316</v>
      </c>
      <c r="AB21" s="11" t="s">
        <v>175</v>
      </c>
      <c r="AC21" s="2" t="s">
        <v>3315</v>
      </c>
      <c r="AD21" s="11" t="s">
        <v>175</v>
      </c>
      <c r="AE21" s="2" t="s">
        <v>3315</v>
      </c>
      <c r="AF21" s="11" t="s">
        <v>175</v>
      </c>
      <c r="AG21" s="2" t="s">
        <v>3317</v>
      </c>
      <c r="AH21" s="11">
        <f>SUBTOTAL(3,_xlfn.SINGLE(tbl_code[RowId]))</f>
        <v>1</v>
      </c>
    </row>
    <row r="22" spans="3:34">
      <c r="C22" s="267" t="s">
        <v>4613</v>
      </c>
      <c r="J22" s="4">
        <v>12</v>
      </c>
      <c r="K22" s="21" t="str">
        <f>HYPERLINK("obsidian://open?vault=o2&amp;file=%E2%9A%A1%20CasaOS%20Project.md","⚡ CasaOS Project")</f>
        <v>⚡ CasaOS Project</v>
      </c>
      <c r="L22" s="2" t="s">
        <v>3291</v>
      </c>
      <c r="M22" s="2" t="s">
        <v>3292</v>
      </c>
      <c r="N22" s="4">
        <v>1</v>
      </c>
      <c r="O22" s="2" t="s">
        <v>3318</v>
      </c>
      <c r="P22" s="11" t="s">
        <v>175</v>
      </c>
      <c r="AH22" s="11">
        <f>SUBTOTAL(3,_xlfn.SINGLE(tbl_code[RowId]))</f>
        <v>1</v>
      </c>
    </row>
    <row r="23" spans="3:34">
      <c r="J23" s="4">
        <v>13</v>
      </c>
      <c r="K23" s="21" t="str">
        <f>HYPERLINK("obsidian://open?vault=o2&amp;file=%E2%9A%A1%20CasaOS%20Project.md","⚡ CasaOS Project")</f>
        <v>⚡ CasaOS Project</v>
      </c>
      <c r="L23" s="2" t="s">
        <v>3319</v>
      </c>
      <c r="M23" s="2" t="s">
        <v>3320</v>
      </c>
      <c r="N23" s="4">
        <v>1</v>
      </c>
      <c r="O23" s="2" t="s">
        <v>3321</v>
      </c>
      <c r="P23" s="11" t="s">
        <v>175</v>
      </c>
      <c r="AH23" s="11">
        <f>SUBTOTAL(3,_xlfn.SINGLE(tbl_code[RowId]))</f>
        <v>1</v>
      </c>
    </row>
    <row r="24" spans="3:34">
      <c r="J24" s="4">
        <v>14</v>
      </c>
      <c r="K24" s="21" t="str">
        <f>HYPERLINK("obsidian://open?vault=o2&amp;file=%F0%9F%93%8C%20CasaOS%20Kanban.md","📌 CasaOS Kanban")</f>
        <v>📌 CasaOS Kanban</v>
      </c>
      <c r="L24" s="2"/>
      <c r="M24" s="2" t="s">
        <v>3294</v>
      </c>
      <c r="N24" s="4">
        <v>1</v>
      </c>
      <c r="O24" s="2" t="s">
        <v>3322</v>
      </c>
      <c r="P24" s="11" t="s">
        <v>175</v>
      </c>
      <c r="AH24" s="11">
        <f>SUBTOTAL(3,_xlfn.SINGLE(tbl_code[RowId]))</f>
        <v>1</v>
      </c>
    </row>
    <row r="25" spans="3:34">
      <c r="J25" s="4">
        <v>15</v>
      </c>
      <c r="K25" s="21" t="str">
        <f>HYPERLINK("obsidian://open?vault=o2&amp;file=Templater%20Cheat%20Sheet.md","Templater Cheat Sheet")</f>
        <v>Templater Cheat Sheet</v>
      </c>
      <c r="L25" s="2"/>
      <c r="M25" s="2" t="s">
        <v>3323</v>
      </c>
      <c r="N25" s="4">
        <v>3</v>
      </c>
      <c r="O25" s="2" t="s">
        <v>3324</v>
      </c>
      <c r="P25" s="11" t="s">
        <v>175</v>
      </c>
      <c r="Q25" s="2" t="s">
        <v>3325</v>
      </c>
      <c r="R25" s="11" t="s">
        <v>175</v>
      </c>
      <c r="S25" s="2" t="s">
        <v>3326</v>
      </c>
      <c r="T25" s="11" t="s">
        <v>175</v>
      </c>
      <c r="AH25" s="11">
        <f>SUBTOTAL(3,_xlfn.SINGLE(tbl_code[RowId]))</f>
        <v>1</v>
      </c>
    </row>
    <row r="26" spans="3:34">
      <c r="J26" s="4">
        <v>16</v>
      </c>
      <c r="K26" s="21" t="str">
        <f>HYPERLINK("obsidian://open?vault=o2&amp;file=Templater%20Cheat%20Sheet.md","Templater Cheat Sheet")</f>
        <v>Templater Cheat Sheet</v>
      </c>
      <c r="L26" s="2"/>
      <c r="M26" s="2" t="s">
        <v>3294</v>
      </c>
      <c r="N26" s="4">
        <v>44</v>
      </c>
      <c r="O26" s="2" t="s">
        <v>3327</v>
      </c>
      <c r="P26" s="11" t="s">
        <v>175</v>
      </c>
      <c r="Q26" s="2" t="s">
        <v>3328</v>
      </c>
      <c r="R26" s="11" t="s">
        <v>175</v>
      </c>
      <c r="S26" s="2" t="s">
        <v>3329</v>
      </c>
      <c r="T26" s="11" t="s">
        <v>175</v>
      </c>
      <c r="U26" s="2" t="s">
        <v>3330</v>
      </c>
      <c r="V26" s="11" t="s">
        <v>175</v>
      </c>
      <c r="W26" s="2" t="s">
        <v>3331</v>
      </c>
      <c r="X26" s="11" t="s">
        <v>175</v>
      </c>
      <c r="Y26" s="2" t="s">
        <v>3332</v>
      </c>
      <c r="Z26" s="11" t="s">
        <v>175</v>
      </c>
      <c r="AA26" s="2" t="s">
        <v>3333</v>
      </c>
      <c r="AB26" s="11" t="s">
        <v>175</v>
      </c>
      <c r="AC26" s="2" t="s">
        <v>3334</v>
      </c>
      <c r="AD26" s="11" t="s">
        <v>175</v>
      </c>
      <c r="AE26" s="2" t="s">
        <v>3335</v>
      </c>
      <c r="AF26" s="11" t="s">
        <v>175</v>
      </c>
      <c r="AG26" s="2" t="s">
        <v>3336</v>
      </c>
      <c r="AH26" s="11">
        <f>SUBTOTAL(3,_xlfn.SINGLE(tbl_code[RowId]))</f>
        <v>1</v>
      </c>
    </row>
    <row r="27" spans="3:34">
      <c r="J27" s="4">
        <v>17</v>
      </c>
      <c r="K27" s="21" t="str">
        <f>HYPERLINK("obsidian://open?vault=o2&amp;file=Templater%20Cheat%20Sheet.md","Templater Cheat Sheet")</f>
        <v>Templater Cheat Sheet</v>
      </c>
      <c r="L27" s="2"/>
      <c r="M27" s="2" t="s">
        <v>3337</v>
      </c>
      <c r="N27" s="4">
        <v>3</v>
      </c>
      <c r="O27" s="2" t="s">
        <v>3338</v>
      </c>
      <c r="P27" s="11" t="s">
        <v>175</v>
      </c>
      <c r="Q27" s="2" t="s">
        <v>3339</v>
      </c>
      <c r="R27" s="11" t="s">
        <v>175</v>
      </c>
      <c r="S27" s="2" t="s">
        <v>3340</v>
      </c>
      <c r="T27" s="11" t="s">
        <v>175</v>
      </c>
      <c r="AH27" s="11">
        <f>SUBTOTAL(3,_xlfn.SINGLE(tbl_code[RowId]))</f>
        <v>1</v>
      </c>
    </row>
    <row r="28" spans="3:34">
      <c r="J28" s="4">
        <v>18</v>
      </c>
      <c r="K28" s="21" t="str">
        <f>HYPERLINK("obsidian://open?vault=o2&amp;file=%E2%9A%A1%20Cheatsheets%20Library.md","⚡ Cheatsheets Library")</f>
        <v>⚡ Cheatsheets Library</v>
      </c>
      <c r="L28" s="2" t="s">
        <v>3291</v>
      </c>
      <c r="M28" s="2" t="s">
        <v>3292</v>
      </c>
      <c r="N28" s="4">
        <v>1</v>
      </c>
      <c r="O28" s="2" t="s">
        <v>3318</v>
      </c>
      <c r="P28" s="11" t="s">
        <v>175</v>
      </c>
      <c r="AH28" s="11">
        <f>SUBTOTAL(3,_xlfn.SINGLE(tbl_code[RowId]))</f>
        <v>1</v>
      </c>
    </row>
    <row r="29" spans="3:34">
      <c r="J29" s="4">
        <v>19</v>
      </c>
      <c r="K29" s="21" t="str">
        <f>HYPERLINK("obsidian://open?vault=o2&amp;file=%E2%9A%A1%20Cheatsheets%20Library.md","⚡ Cheatsheets Library")</f>
        <v>⚡ Cheatsheets Library</v>
      </c>
      <c r="L29" s="2" t="s">
        <v>3319</v>
      </c>
      <c r="M29" s="2" t="s">
        <v>3320</v>
      </c>
      <c r="N29" s="4">
        <v>1</v>
      </c>
      <c r="O29" s="2" t="s">
        <v>3341</v>
      </c>
      <c r="P29" s="11" t="s">
        <v>175</v>
      </c>
      <c r="AH29" s="11">
        <f>SUBTOTAL(3,_xlfn.SINGLE(tbl_code[RowId]))</f>
        <v>1</v>
      </c>
    </row>
    <row r="30" spans="3:34">
      <c r="J30" s="4">
        <v>20</v>
      </c>
      <c r="K30" s="21" t="str">
        <f>HYPERLINK("obsidian://open?vault=o2&amp;file=Advanced%20regular%20expression%20features%20to%20match%20Markdown%20links.md","Advanced regular expression features to match Markdown links")</f>
        <v>Advanced regular expression features to match Markdown links</v>
      </c>
      <c r="L30" s="2"/>
      <c r="M30" s="2" t="s">
        <v>3294</v>
      </c>
      <c r="N30" s="4">
        <v>11</v>
      </c>
      <c r="O30" s="2" t="s">
        <v>3342</v>
      </c>
      <c r="P30" s="11" t="s">
        <v>175</v>
      </c>
      <c r="Q30" s="2" t="s">
        <v>3343</v>
      </c>
      <c r="R30" s="11" t="s">
        <v>175</v>
      </c>
      <c r="S30" s="2" t="s">
        <v>3344</v>
      </c>
      <c r="T30" s="11" t="s">
        <v>175</v>
      </c>
      <c r="U30" s="2" t="s">
        <v>3345</v>
      </c>
      <c r="V30" s="11" t="s">
        <v>175</v>
      </c>
      <c r="W30" s="2" t="s">
        <v>3346</v>
      </c>
      <c r="X30" s="11" t="s">
        <v>175</v>
      </c>
      <c r="Y30" s="2" t="s">
        <v>3347</v>
      </c>
      <c r="Z30" s="11" t="s">
        <v>175</v>
      </c>
      <c r="AA30" s="2" t="s">
        <v>3348</v>
      </c>
      <c r="AB30" s="11" t="s">
        <v>175</v>
      </c>
      <c r="AC30" s="2" t="s">
        <v>3349</v>
      </c>
      <c r="AD30" s="11" t="s">
        <v>175</v>
      </c>
      <c r="AE30" s="2" t="s">
        <v>3350</v>
      </c>
      <c r="AF30" s="11" t="s">
        <v>175</v>
      </c>
      <c r="AG30" s="2" t="s">
        <v>3351</v>
      </c>
      <c r="AH30" s="11">
        <f>SUBTOTAL(3,_xlfn.SINGLE(tbl_code[RowId]))</f>
        <v>1</v>
      </c>
    </row>
    <row r="31" spans="3:34">
      <c r="J31" s="4">
        <v>21</v>
      </c>
      <c r="K31" s="21" t="str">
        <f>HYPERLINK("obsidian://open?vault=o2&amp;file=Unicoding%20-%20In%20Brief.md","Unicoding - In Brief")</f>
        <v>Unicoding - In Brief</v>
      </c>
      <c r="L31" s="2"/>
      <c r="M31" s="2" t="s">
        <v>3294</v>
      </c>
      <c r="N31" s="4">
        <v>1</v>
      </c>
      <c r="O31" s="2" t="s">
        <v>3352</v>
      </c>
      <c r="P31" s="11" t="s">
        <v>175</v>
      </c>
      <c r="AH31" s="11">
        <f>SUBTOTAL(3,_xlfn.SINGLE(tbl_code[RowId]))</f>
        <v>1</v>
      </c>
    </row>
    <row r="32" spans="3:34">
      <c r="J32" s="4">
        <v>22</v>
      </c>
      <c r="K32" s="21" t="str">
        <f>HYPERLINK("obsidian://open?vault=o2&amp;file=YAML%20Fix%20Tool.md","YAML Fix Tool")</f>
        <v>YAML Fix Tool</v>
      </c>
      <c r="L32" s="2"/>
      <c r="M32" s="2" t="s">
        <v>3294</v>
      </c>
      <c r="N32" s="4">
        <v>8</v>
      </c>
      <c r="O32" s="2" t="s">
        <v>3353</v>
      </c>
      <c r="P32" s="11" t="s">
        <v>175</v>
      </c>
      <c r="Q32" s="2" t="s">
        <v>3354</v>
      </c>
      <c r="R32" s="11" t="s">
        <v>175</v>
      </c>
      <c r="S32" s="2" t="s">
        <v>3355</v>
      </c>
      <c r="T32" s="11" t="s">
        <v>175</v>
      </c>
      <c r="U32" s="2" t="s">
        <v>3356</v>
      </c>
      <c r="V32" s="11" t="s">
        <v>175</v>
      </c>
      <c r="W32" s="2" t="s">
        <v>3357</v>
      </c>
      <c r="X32" s="11" t="s">
        <v>175</v>
      </c>
      <c r="Y32" s="2" t="s">
        <v>3358</v>
      </c>
      <c r="Z32" s="11" t="s">
        <v>175</v>
      </c>
      <c r="AA32" s="2" t="s">
        <v>3359</v>
      </c>
      <c r="AB32" s="11" t="s">
        <v>175</v>
      </c>
      <c r="AC32" s="2" t="s">
        <v>3360</v>
      </c>
      <c r="AD32" s="11" t="s">
        <v>175</v>
      </c>
      <c r="AH32" s="11">
        <f>SUBTOTAL(3,_xlfn.SINGLE(tbl_code[RowId]))</f>
        <v>1</v>
      </c>
    </row>
    <row r="33" spans="10:34">
      <c r="J33" s="4">
        <v>23</v>
      </c>
      <c r="K33" s="21" t="str">
        <f>HYPERLINK("obsidian://open?vault=o2&amp;file=YAML%20Fix%20Tool.md","YAML Fix Tool")</f>
        <v>YAML Fix Tool</v>
      </c>
      <c r="L33" s="2"/>
      <c r="M33" s="2" t="s">
        <v>3361</v>
      </c>
      <c r="N33" s="4">
        <v>1</v>
      </c>
      <c r="O33" s="2" t="s">
        <v>3362</v>
      </c>
      <c r="P33" s="11" t="s">
        <v>175</v>
      </c>
      <c r="AH33" s="11">
        <f>SUBTOTAL(3,_xlfn.SINGLE(tbl_code[RowId]))</f>
        <v>1</v>
      </c>
    </row>
    <row r="34" spans="10:34">
      <c r="J34" s="4">
        <v>24</v>
      </c>
      <c r="K34" s="21" t="str">
        <f>HYPERLINK("obsidian://open?vault=o2&amp;file=%E2%9A%A1%20Coding.md","⚡ Coding")</f>
        <v>⚡ Coding</v>
      </c>
      <c r="L34" s="2" t="s">
        <v>3291</v>
      </c>
      <c r="M34" s="2" t="s">
        <v>3292</v>
      </c>
      <c r="N34" s="4">
        <v>1</v>
      </c>
      <c r="O34" s="2" t="s">
        <v>3318</v>
      </c>
      <c r="P34" s="11" t="s">
        <v>175</v>
      </c>
      <c r="AH34" s="11">
        <f>SUBTOTAL(3,_xlfn.SINGLE(tbl_code[RowId]))</f>
        <v>1</v>
      </c>
    </row>
    <row r="35" spans="10:34">
      <c r="J35" s="4">
        <v>25</v>
      </c>
      <c r="K35" s="21" t="str">
        <f>HYPERLINK("obsidian://open?vault=o2&amp;file=%E2%9A%A1%20Coding.md","⚡ Coding")</f>
        <v>⚡ Coding</v>
      </c>
      <c r="L35" s="2" t="s">
        <v>3319</v>
      </c>
      <c r="M35" s="2" t="s">
        <v>3320</v>
      </c>
      <c r="N35" s="4">
        <v>1</v>
      </c>
      <c r="O35" s="2" t="s">
        <v>3363</v>
      </c>
      <c r="P35" s="11" t="s">
        <v>175</v>
      </c>
      <c r="AH35" s="11">
        <f>SUBTOTAL(3,_xlfn.SINGLE(tbl_code[RowId]))</f>
        <v>1</v>
      </c>
    </row>
    <row r="36" spans="10:34">
      <c r="J36" s="4">
        <v>26</v>
      </c>
      <c r="K36" s="21" t="str">
        <f>HYPERLINK("obsidian://open?vault=o2&amp;file=%E2%9A%A1%20Create%20a%20Recipe%20Cookbook.md","⚡ Create a Recipe Cookbook")</f>
        <v>⚡ Create a Recipe Cookbook</v>
      </c>
      <c r="L36" s="2" t="s">
        <v>3291</v>
      </c>
      <c r="M36" s="2" t="s">
        <v>3292</v>
      </c>
      <c r="N36" s="4">
        <v>1</v>
      </c>
      <c r="O36" s="2" t="s">
        <v>3318</v>
      </c>
      <c r="P36" s="11" t="s">
        <v>175</v>
      </c>
      <c r="AH36" s="11">
        <f>SUBTOTAL(3,_xlfn.SINGLE(tbl_code[RowId]))</f>
        <v>1</v>
      </c>
    </row>
    <row r="37" spans="10:34">
      <c r="J37" s="4">
        <v>27</v>
      </c>
      <c r="K37" s="21" t="str">
        <f>HYPERLINK("obsidian://open?vault=o2&amp;file=%E2%9A%A1%20Create%20a%20Recipe%20Cookbook.md","⚡ Create a Recipe Cookbook")</f>
        <v>⚡ Create a Recipe Cookbook</v>
      </c>
      <c r="L37" s="2" t="s">
        <v>3319</v>
      </c>
      <c r="M37" s="2" t="s">
        <v>3320</v>
      </c>
      <c r="N37" s="4">
        <v>1</v>
      </c>
      <c r="O37" s="2" t="s">
        <v>3364</v>
      </c>
      <c r="P37" s="11" t="s">
        <v>175</v>
      </c>
      <c r="AH37" s="11">
        <f>SUBTOTAL(3,_xlfn.SINGLE(tbl_code[RowId]))</f>
        <v>1</v>
      </c>
    </row>
    <row r="38" spans="10:34">
      <c r="J38" s="4">
        <v>28</v>
      </c>
      <c r="K38" s="21" t="str">
        <f>HYPERLINK("obsidian://open?vault=o2&amp;file=%E2%9A%A1%20Debug%20metaCatchall%20Project.md","⚡ Debug metaCatchall Project")</f>
        <v>⚡ Debug metaCatchall Project</v>
      </c>
      <c r="L38" s="2" t="s">
        <v>3291</v>
      </c>
      <c r="M38" s="2" t="s">
        <v>3292</v>
      </c>
      <c r="N38" s="4">
        <v>1</v>
      </c>
      <c r="O38" s="2" t="s">
        <v>3318</v>
      </c>
      <c r="P38" s="11" t="s">
        <v>175</v>
      </c>
      <c r="AH38" s="11">
        <f>SUBTOTAL(3,_xlfn.SINGLE(tbl_code[RowId]))</f>
        <v>1</v>
      </c>
    </row>
    <row r="39" spans="10:34">
      <c r="J39" s="4">
        <v>29</v>
      </c>
      <c r="K39" s="21" t="str">
        <f>HYPERLINK("obsidian://open?vault=o2&amp;file=%E2%9A%A1%20Debug%20metaCatchall%20Project.md","⚡ Debug metaCatchall Project")</f>
        <v>⚡ Debug metaCatchall Project</v>
      </c>
      <c r="L39" s="2" t="s">
        <v>3319</v>
      </c>
      <c r="M39" s="2" t="s">
        <v>3320</v>
      </c>
      <c r="N39" s="4">
        <v>1</v>
      </c>
      <c r="O39" s="2" t="s">
        <v>3365</v>
      </c>
      <c r="P39" s="11" t="s">
        <v>175</v>
      </c>
      <c r="AH39" s="11">
        <f>SUBTOTAL(3,_xlfn.SINGLE(tbl_code[RowId]))</f>
        <v>1</v>
      </c>
    </row>
    <row r="40" spans="10:34">
      <c r="J40" s="4">
        <v>30</v>
      </c>
      <c r="K40" s="21" t="str">
        <f>HYPERLINK("obsidian://open?vault=o2&amp;file=%E2%9A%A1%20Home%20Project.md","⚡ Home Project")</f>
        <v>⚡ Home Project</v>
      </c>
      <c r="L40" s="2" t="s">
        <v>3291</v>
      </c>
      <c r="M40" s="2" t="s">
        <v>3292</v>
      </c>
      <c r="N40" s="4">
        <v>1</v>
      </c>
      <c r="O40" s="2" t="s">
        <v>3318</v>
      </c>
      <c r="P40" s="11" t="s">
        <v>175</v>
      </c>
      <c r="AH40" s="11">
        <f>SUBTOTAL(3,_xlfn.SINGLE(tbl_code[RowId]))</f>
        <v>1</v>
      </c>
    </row>
    <row r="41" spans="10:34">
      <c r="J41" s="4">
        <v>31</v>
      </c>
      <c r="K41" s="21" t="str">
        <f>HYPERLINK("obsidian://open?vault=o2&amp;file=%E2%9A%A1%20Home%20Project.md","⚡ Home Project")</f>
        <v>⚡ Home Project</v>
      </c>
      <c r="L41" s="2" t="s">
        <v>3319</v>
      </c>
      <c r="M41" s="2" t="s">
        <v>3320</v>
      </c>
      <c r="N41" s="4">
        <v>1</v>
      </c>
      <c r="O41" s="2" t="s">
        <v>3366</v>
      </c>
      <c r="P41" s="11" t="s">
        <v>175</v>
      </c>
      <c r="AH41" s="11">
        <f>SUBTOTAL(3,_xlfn.SINGLE(tbl_code[RowId]))</f>
        <v>1</v>
      </c>
    </row>
    <row r="42" spans="10:34">
      <c r="J42" s="4">
        <v>32</v>
      </c>
      <c r="K42" s="21" t="str">
        <f>HYPERLINK("obsidian://open?vault=o2&amp;file=%F0%9F%93%8C%20Sell%20House-Move.md","📌 Sell House-Move")</f>
        <v>📌 Sell House-Move</v>
      </c>
      <c r="L42" s="2"/>
      <c r="M42" s="2" t="s">
        <v>3294</v>
      </c>
      <c r="N42" s="4">
        <v>1</v>
      </c>
      <c r="O42" s="2" t="s">
        <v>3367</v>
      </c>
      <c r="P42" s="11" t="s">
        <v>175</v>
      </c>
      <c r="AH42" s="11">
        <f>SUBTOTAL(3,_xlfn.SINGLE(tbl_code[RowId]))</f>
        <v>1</v>
      </c>
    </row>
    <row r="43" spans="10:34">
      <c r="J43" s="4">
        <v>33</v>
      </c>
      <c r="K43" s="21" t="str">
        <f>HYPERLINK("obsidian://open?vault=o2&amp;file=Image%20Categorization%20Project%20Definition.md","Image Categorization Project Definition")</f>
        <v>Image Categorization Project Definition</v>
      </c>
      <c r="L43" s="2" t="s">
        <v>3368</v>
      </c>
      <c r="M43" s="2" t="s">
        <v>3369</v>
      </c>
      <c r="N43" s="4">
        <v>1</v>
      </c>
      <c r="O43" s="2" t="s">
        <v>3370</v>
      </c>
      <c r="P43" s="11" t="s">
        <v>175</v>
      </c>
      <c r="AH43" s="11">
        <f>SUBTOTAL(3,_xlfn.SINGLE(tbl_code[RowId]))</f>
        <v>1</v>
      </c>
    </row>
    <row r="44" spans="10:34">
      <c r="J44" s="4">
        <v>34</v>
      </c>
      <c r="K44" s="21" t="str">
        <f>HYPERLINK("obsidian://open?vault=o2&amp;file=%E2%9A%A1%20Image%20Categorization%20Project.md","⚡ Image Categorization Project")</f>
        <v>⚡ Image Categorization Project</v>
      </c>
      <c r="L44" s="2" t="s">
        <v>3291</v>
      </c>
      <c r="M44" s="2" t="s">
        <v>3292</v>
      </c>
      <c r="N44" s="4">
        <v>1</v>
      </c>
      <c r="O44" s="2" t="s">
        <v>3318</v>
      </c>
      <c r="P44" s="11" t="s">
        <v>175</v>
      </c>
      <c r="AH44" s="11">
        <f>SUBTOTAL(3,_xlfn.SINGLE(tbl_code[RowId]))</f>
        <v>1</v>
      </c>
    </row>
    <row r="45" spans="10:34">
      <c r="J45" s="4">
        <v>35</v>
      </c>
      <c r="K45" s="21" t="str">
        <f>HYPERLINK("obsidian://open?vault=o2&amp;file=%E2%9A%A1%20Image%20Categorization%20Project.md","⚡ Image Categorization Project")</f>
        <v>⚡ Image Categorization Project</v>
      </c>
      <c r="L45" s="2" t="s">
        <v>3319</v>
      </c>
      <c r="M45" s="2" t="s">
        <v>3320</v>
      </c>
      <c r="N45" s="4">
        <v>1</v>
      </c>
      <c r="O45" s="2" t="s">
        <v>3371</v>
      </c>
      <c r="P45" s="11" t="s">
        <v>175</v>
      </c>
      <c r="AH45" s="11">
        <f>SUBTOTAL(3,_xlfn.SINGLE(tbl_code[RowId]))</f>
        <v>1</v>
      </c>
    </row>
    <row r="46" spans="10:34">
      <c r="J46" s="4">
        <v>36</v>
      </c>
      <c r="K46" s="21" t="str">
        <f>HYPERLINK("obsidian://open?vault=o2&amp;file=%E2%9A%A1%20Learn%20Python%20and%20OOP%20Project.md","⚡ Learn Python and OOP Project")</f>
        <v>⚡ Learn Python and OOP Project</v>
      </c>
      <c r="L46" s="2" t="s">
        <v>3291</v>
      </c>
      <c r="M46" s="2" t="s">
        <v>3292</v>
      </c>
      <c r="N46" s="4">
        <v>1</v>
      </c>
      <c r="O46" s="2" t="s">
        <v>3318</v>
      </c>
      <c r="P46" s="11" t="s">
        <v>175</v>
      </c>
      <c r="AH46" s="11">
        <f>SUBTOTAL(3,_xlfn.SINGLE(tbl_code[RowId]))</f>
        <v>1</v>
      </c>
    </row>
    <row r="47" spans="10:34">
      <c r="J47" s="4">
        <v>37</v>
      </c>
      <c r="K47" s="21" t="str">
        <f>HYPERLINK("obsidian://open?vault=o2&amp;file=%E2%9A%A1%20Learn%20Python%20and%20OOP%20Project.md","⚡ Learn Python and OOP Project")</f>
        <v>⚡ Learn Python and OOP Project</v>
      </c>
      <c r="L47" s="2" t="s">
        <v>3319</v>
      </c>
      <c r="M47" s="2" t="s">
        <v>3320</v>
      </c>
      <c r="N47" s="4">
        <v>1</v>
      </c>
      <c r="O47" s="2" t="s">
        <v>3372</v>
      </c>
      <c r="P47" s="11" t="s">
        <v>175</v>
      </c>
      <c r="AH47" s="11">
        <f>SUBTOTAL(3,_xlfn.SINGLE(tbl_code[RowId]))</f>
        <v>1</v>
      </c>
    </row>
    <row r="48" spans="10:34">
      <c r="J48" s="4">
        <v>38</v>
      </c>
      <c r="K48" s="21" t="str">
        <f>HYPERLINK("obsidian://open?vault=o2&amp;file=27%20Useful%20CSS%20Plugins%20for%20Obsidian.md","27 Useful CSS Plugins for Obsidian")</f>
        <v>27 Useful CSS Plugins for Obsidian</v>
      </c>
      <c r="L48" s="2"/>
      <c r="M48" s="2" t="s">
        <v>3294</v>
      </c>
      <c r="N48" s="4">
        <v>9</v>
      </c>
      <c r="O48" s="2" t="s">
        <v>3373</v>
      </c>
      <c r="P48" s="11" t="s">
        <v>175</v>
      </c>
      <c r="Q48" s="2" t="s">
        <v>3374</v>
      </c>
      <c r="R48" s="11" t="s">
        <v>175</v>
      </c>
      <c r="S48" s="2" t="s">
        <v>3375</v>
      </c>
      <c r="T48" s="11" t="s">
        <v>175</v>
      </c>
      <c r="U48" s="2" t="s">
        <v>3376</v>
      </c>
      <c r="V48" s="11" t="s">
        <v>175</v>
      </c>
      <c r="W48" s="2" t="s">
        <v>3377</v>
      </c>
      <c r="X48" s="11" t="s">
        <v>175</v>
      </c>
      <c r="Y48" s="2" t="s">
        <v>3378</v>
      </c>
      <c r="Z48" s="11" t="s">
        <v>175</v>
      </c>
      <c r="AA48" s="2" t="s">
        <v>3379</v>
      </c>
      <c r="AB48" s="11" t="s">
        <v>175</v>
      </c>
      <c r="AC48" s="2" t="s">
        <v>3380</v>
      </c>
      <c r="AD48" s="11" t="s">
        <v>175</v>
      </c>
      <c r="AE48" s="2" t="s">
        <v>3381</v>
      </c>
      <c r="AF48" s="11" t="s">
        <v>175</v>
      </c>
      <c r="AH48" s="11">
        <f>SUBTOTAL(3,_xlfn.SINGLE(tbl_code[RowId]))</f>
        <v>1</v>
      </c>
    </row>
    <row r="49" spans="10:34">
      <c r="J49" s="4">
        <v>39</v>
      </c>
      <c r="K49" s="21" t="str">
        <f>HYPERLINK("obsidian://open?vault=o2&amp;file=MD%20Web%20Clipper%20User%20Guide.md","MD Web Clipper User Guide")</f>
        <v>MD Web Clipper User Guide</v>
      </c>
      <c r="L49" s="2"/>
      <c r="M49" s="2" t="s">
        <v>3382</v>
      </c>
      <c r="N49" s="4">
        <v>1</v>
      </c>
      <c r="O49" s="2" t="s">
        <v>3383</v>
      </c>
      <c r="P49" s="11" t="s">
        <v>175</v>
      </c>
      <c r="AH49" s="11">
        <f>SUBTOTAL(3,_xlfn.SINGLE(tbl_code[RowId]))</f>
        <v>1</v>
      </c>
    </row>
    <row r="50" spans="10:34">
      <c r="J50" s="4">
        <v>40</v>
      </c>
      <c r="K50" s="21" t="str">
        <f>HYPERLINK("obsidian://open?vault=o2&amp;file=MD%20Web%20Clipper%20User%20Guide.md","MD Web Clipper User Guide")</f>
        <v>MD Web Clipper User Guide</v>
      </c>
      <c r="L50" s="2"/>
      <c r="M50" s="2" t="s">
        <v>3294</v>
      </c>
      <c r="N50" s="4">
        <v>12</v>
      </c>
      <c r="O50" s="2" t="s">
        <v>3384</v>
      </c>
      <c r="P50" s="11" t="s">
        <v>175</v>
      </c>
      <c r="Q50" s="2" t="s">
        <v>3385</v>
      </c>
      <c r="R50" s="11" t="s">
        <v>175</v>
      </c>
      <c r="S50" s="2" t="s">
        <v>3386</v>
      </c>
      <c r="T50" s="11" t="s">
        <v>175</v>
      </c>
      <c r="U50" s="2" t="s">
        <v>3387</v>
      </c>
      <c r="V50" s="11" t="s">
        <v>175</v>
      </c>
      <c r="W50" s="2" t="s">
        <v>3388</v>
      </c>
      <c r="X50" s="11" t="s">
        <v>175</v>
      </c>
      <c r="Y50" s="2" t="s">
        <v>3389</v>
      </c>
      <c r="Z50" s="11" t="s">
        <v>175</v>
      </c>
      <c r="AA50" s="2" t="s">
        <v>3390</v>
      </c>
      <c r="AB50" s="11" t="s">
        <v>175</v>
      </c>
      <c r="AC50" s="2" t="s">
        <v>3391</v>
      </c>
      <c r="AD50" s="11" t="s">
        <v>175</v>
      </c>
      <c r="AE50" s="2" t="s">
        <v>3392</v>
      </c>
      <c r="AF50" s="11" t="s">
        <v>175</v>
      </c>
      <c r="AG50" s="2" t="s">
        <v>3393</v>
      </c>
      <c r="AH50" s="11">
        <f>SUBTOTAL(3,_xlfn.SINGLE(tbl_code[RowId]))</f>
        <v>1</v>
      </c>
    </row>
    <row r="51" spans="10:34">
      <c r="J51" s="4">
        <v>41</v>
      </c>
      <c r="K51" s="21" t="str">
        <f>HYPERLINK("obsidian://open?vault=o2&amp;file=MD%20Web%20Clipper%20User%20Guide.md","MD Web Clipper User Guide")</f>
        <v>MD Web Clipper User Guide</v>
      </c>
      <c r="L51" s="2"/>
      <c r="M51" s="2" t="s">
        <v>3394</v>
      </c>
      <c r="N51" s="4">
        <v>3</v>
      </c>
      <c r="O51" s="2" t="s">
        <v>3395</v>
      </c>
      <c r="P51" s="11" t="s">
        <v>175</v>
      </c>
      <c r="Q51" s="2" t="s">
        <v>3396</v>
      </c>
      <c r="R51" s="11" t="s">
        <v>175</v>
      </c>
      <c r="S51" s="2" t="s">
        <v>3397</v>
      </c>
      <c r="T51" s="11" t="s">
        <v>175</v>
      </c>
      <c r="AH51" s="11">
        <f>SUBTOTAL(3,_xlfn.SINGLE(tbl_code[RowId]))</f>
        <v>1</v>
      </c>
    </row>
    <row r="52" spans="10:34">
      <c r="J52" s="4">
        <v>42</v>
      </c>
      <c r="K52" s="21" t="str">
        <f>HYPERLINK("obsidian://open?vault=o2&amp;file=yaml_fix2_create_excel_report.md","yaml_fix2_create_excel_report")</f>
        <v>yaml_fix2_create_excel_report</v>
      </c>
      <c r="L52" s="2"/>
      <c r="M52" s="2" t="s">
        <v>3294</v>
      </c>
      <c r="N52" s="4">
        <v>5</v>
      </c>
      <c r="O52" s="2" t="s">
        <v>3398</v>
      </c>
      <c r="P52" s="11" t="s">
        <v>175</v>
      </c>
      <c r="Q52" s="2" t="s">
        <v>3399</v>
      </c>
      <c r="R52" s="11" t="s">
        <v>175</v>
      </c>
      <c r="S52" s="2" t="s">
        <v>3400</v>
      </c>
      <c r="T52" s="11" t="s">
        <v>175</v>
      </c>
      <c r="U52" s="2" t="s">
        <v>3401</v>
      </c>
      <c r="V52" s="11" t="s">
        <v>175</v>
      </c>
      <c r="W52" s="2" t="s">
        <v>3402</v>
      </c>
      <c r="X52" s="11" t="s">
        <v>175</v>
      </c>
      <c r="AH52" s="11">
        <f>SUBTOTAL(3,_xlfn.SINGLE(tbl_code[RowId]))</f>
        <v>1</v>
      </c>
    </row>
    <row r="53" spans="10:34">
      <c r="J53" s="4">
        <v>43</v>
      </c>
      <c r="K53" s="21" t="str">
        <f>HYPERLINK("obsidian://open?vault=o2&amp;file=%E2%9A%A1%20Learning%20Obsidian%20Project.md","⚡ Learning Obsidian Project")</f>
        <v>⚡ Learning Obsidian Project</v>
      </c>
      <c r="L53" s="2" t="s">
        <v>3291</v>
      </c>
      <c r="M53" s="2" t="s">
        <v>3292</v>
      </c>
      <c r="N53" s="4">
        <v>1</v>
      </c>
      <c r="O53" s="2" t="s">
        <v>3318</v>
      </c>
      <c r="P53" s="11" t="s">
        <v>175</v>
      </c>
      <c r="AH53" s="11">
        <f>SUBTOTAL(3,_xlfn.SINGLE(tbl_code[RowId]))</f>
        <v>1</v>
      </c>
    </row>
    <row r="54" spans="10:34">
      <c r="J54" s="4">
        <v>44</v>
      </c>
      <c r="K54" s="21" t="str">
        <f>HYPERLINK("obsidian://open?vault=o2&amp;file=%E2%9A%A1%20Learning%20Obsidian%20Project.md","⚡ Learning Obsidian Project")</f>
        <v>⚡ Learning Obsidian Project</v>
      </c>
      <c r="L54" s="2" t="s">
        <v>3319</v>
      </c>
      <c r="M54" s="2" t="s">
        <v>3320</v>
      </c>
      <c r="N54" s="4">
        <v>1</v>
      </c>
      <c r="O54" s="2" t="s">
        <v>3403</v>
      </c>
      <c r="P54" s="11" t="s">
        <v>175</v>
      </c>
      <c r="AH54" s="11">
        <f>SUBTOTAL(3,_xlfn.SINGLE(tbl_code[RowId]))</f>
        <v>1</v>
      </c>
    </row>
    <row r="55" spans="10:34">
      <c r="J55" s="4">
        <v>45</v>
      </c>
      <c r="K55" s="21" t="str">
        <f>HYPERLINK("obsidian://open?vault=o2&amp;file=%F0%9F%93%8C%20Create%20a%20new%20kind%20of%20note.md","📌 Create a new kind of note")</f>
        <v>📌 Create a new kind of note</v>
      </c>
      <c r="L55" s="2"/>
      <c r="M55" s="2" t="s">
        <v>3294</v>
      </c>
      <c r="N55" s="4">
        <v>1</v>
      </c>
      <c r="O55" s="2" t="s">
        <v>3404</v>
      </c>
      <c r="P55" s="11" t="s">
        <v>175</v>
      </c>
      <c r="AH55" s="11">
        <f>SUBTOTAL(3,_xlfn.SINGLE(tbl_code[RowId]))</f>
        <v>1</v>
      </c>
    </row>
    <row r="56" spans="10:34">
      <c r="J56" s="4">
        <v>46</v>
      </c>
      <c r="K56" s="21" t="str">
        <f>HYPERLINK("obsidian://open?vault=o2&amp;file=%F0%9F%93%8C%20Learn%20Obsidian%20MD.md","📌 Learn Obsidian MD")</f>
        <v>📌 Learn Obsidian MD</v>
      </c>
      <c r="L56" s="2"/>
      <c r="M56" s="2" t="s">
        <v>3294</v>
      </c>
      <c r="N56" s="4">
        <v>1</v>
      </c>
      <c r="O56" s="2" t="s">
        <v>3405</v>
      </c>
      <c r="P56" s="11" t="s">
        <v>175</v>
      </c>
      <c r="AH56" s="11">
        <f>SUBTOTAL(3,_xlfn.SINGLE(tbl_code[RowId]))</f>
        <v>1</v>
      </c>
    </row>
    <row r="57" spans="10:34">
      <c r="J57" s="4">
        <v>47</v>
      </c>
      <c r="K57" s="21" t="str">
        <f>HYPERLINK("obsidian://open?vault=o2&amp;file=%E2%9A%A1%20Learning%20iOS%20Project.md","⚡ Learning iOS Project")</f>
        <v>⚡ Learning iOS Project</v>
      </c>
      <c r="L57" s="2" t="s">
        <v>3291</v>
      </c>
      <c r="M57" s="2" t="s">
        <v>3292</v>
      </c>
      <c r="N57" s="4">
        <v>1</v>
      </c>
      <c r="O57" s="2" t="s">
        <v>3318</v>
      </c>
      <c r="P57" s="11" t="s">
        <v>175</v>
      </c>
      <c r="AH57" s="11">
        <f>SUBTOTAL(3,_xlfn.SINGLE(tbl_code[RowId]))</f>
        <v>1</v>
      </c>
    </row>
    <row r="58" spans="10:34">
      <c r="J58" s="4">
        <v>48</v>
      </c>
      <c r="K58" s="21" t="str">
        <f>HYPERLINK("obsidian://open?vault=o2&amp;file=%E2%9A%A1%20Learning%20iOS%20Project.md","⚡ Learning iOS Project")</f>
        <v>⚡ Learning iOS Project</v>
      </c>
      <c r="L58" s="2" t="s">
        <v>3319</v>
      </c>
      <c r="M58" s="2" t="s">
        <v>3320</v>
      </c>
      <c r="N58" s="4">
        <v>1</v>
      </c>
      <c r="O58" s="2" t="s">
        <v>3406</v>
      </c>
      <c r="P58" s="11" t="s">
        <v>175</v>
      </c>
      <c r="AH58" s="11">
        <f>SUBTOTAL(3,_xlfn.SINGLE(tbl_code[RowId]))</f>
        <v>1</v>
      </c>
    </row>
    <row r="59" spans="10:34">
      <c r="J59" s="4">
        <v>49</v>
      </c>
      <c r="K59" s="21" t="str">
        <f>HYPERLINK("obsidian://open?vault=o2&amp;file=%E2%9A%A1%20Media%20Project.md","⚡ Media Project")</f>
        <v>⚡ Media Project</v>
      </c>
      <c r="L59" s="2" t="s">
        <v>3291</v>
      </c>
      <c r="M59" s="2" t="s">
        <v>3292</v>
      </c>
      <c r="N59" s="4">
        <v>1</v>
      </c>
      <c r="O59" s="2" t="s">
        <v>3318</v>
      </c>
      <c r="P59" s="11" t="s">
        <v>175</v>
      </c>
      <c r="AH59" s="11">
        <f>SUBTOTAL(3,_xlfn.SINGLE(tbl_code[RowId]))</f>
        <v>1</v>
      </c>
    </row>
    <row r="60" spans="10:34">
      <c r="J60" s="4">
        <v>50</v>
      </c>
      <c r="K60" s="21" t="str">
        <f>HYPERLINK("obsidian://open?vault=o2&amp;file=%E2%9A%A1%20Media%20Project.md","⚡ Media Project")</f>
        <v>⚡ Media Project</v>
      </c>
      <c r="L60" s="2" t="s">
        <v>3319</v>
      </c>
      <c r="M60" s="2" t="s">
        <v>3320</v>
      </c>
      <c r="N60" s="4">
        <v>1</v>
      </c>
      <c r="O60" s="2" t="s">
        <v>3407</v>
      </c>
      <c r="P60" s="11" t="s">
        <v>175</v>
      </c>
      <c r="AH60" s="11">
        <f>SUBTOTAL(3,_xlfn.SINGLE(tbl_code[RowId]))</f>
        <v>1</v>
      </c>
    </row>
    <row r="61" spans="10:34">
      <c r="J61" s="4">
        <v>51</v>
      </c>
      <c r="K61" s="21" t="str">
        <f>HYPERLINK("obsidian://open?vault=o2&amp;file=%E2%9A%A1%20Money%20Management%20Project.md","⚡ Money Management Project")</f>
        <v>⚡ Money Management Project</v>
      </c>
      <c r="L61" s="2" t="s">
        <v>3291</v>
      </c>
      <c r="M61" s="2" t="s">
        <v>3292</v>
      </c>
      <c r="N61" s="4">
        <v>1</v>
      </c>
      <c r="O61" s="2" t="s">
        <v>3318</v>
      </c>
      <c r="P61" s="11" t="s">
        <v>175</v>
      </c>
      <c r="AH61" s="11">
        <f>SUBTOTAL(3,_xlfn.SINGLE(tbl_code[RowId]))</f>
        <v>1</v>
      </c>
    </row>
    <row r="62" spans="10:34">
      <c r="J62" s="4">
        <v>52</v>
      </c>
      <c r="K62" s="21" t="str">
        <f>HYPERLINK("obsidian://open?vault=o2&amp;file=%E2%9A%A1%20Money%20Management%20Project.md","⚡ Money Management Project")</f>
        <v>⚡ Money Management Project</v>
      </c>
      <c r="L62" s="2" t="s">
        <v>3319</v>
      </c>
      <c r="M62" s="2" t="s">
        <v>3320</v>
      </c>
      <c r="N62" s="4">
        <v>2</v>
      </c>
      <c r="O62" s="2" t="s">
        <v>3408</v>
      </c>
      <c r="P62" s="11" t="s">
        <v>175</v>
      </c>
      <c r="Q62" s="2" t="s">
        <v>3409</v>
      </c>
      <c r="R62" s="11" t="s">
        <v>175</v>
      </c>
      <c r="AH62" s="11">
        <f>SUBTOTAL(3,_xlfn.SINGLE(tbl_code[RowId]))</f>
        <v>1</v>
      </c>
    </row>
    <row r="63" spans="10:34">
      <c r="J63" s="4">
        <v>53</v>
      </c>
      <c r="K63" s="21" t="str">
        <f>HYPERLINK("obsidian://open?vault=o2&amp;file=%E2%9A%A1%20My%20Projects.md","⚡ My Projects")</f>
        <v>⚡ My Projects</v>
      </c>
      <c r="L63" s="2" t="s">
        <v>3291</v>
      </c>
      <c r="M63" s="2" t="s">
        <v>3292</v>
      </c>
      <c r="N63" s="4">
        <v>1</v>
      </c>
      <c r="O63" s="2" t="s">
        <v>3293</v>
      </c>
      <c r="P63" s="11" t="s">
        <v>175</v>
      </c>
      <c r="AH63" s="11">
        <f>SUBTOTAL(3,_xlfn.SINGLE(tbl_code[RowId]))</f>
        <v>1</v>
      </c>
    </row>
    <row r="64" spans="10:34">
      <c r="J64" s="4">
        <v>54</v>
      </c>
      <c r="K64" s="21" t="str">
        <f>HYPERLINK("obsidian://open?vault=o2&amp;file=%E2%9A%A1%20My%20Projects.md","⚡ My Projects")</f>
        <v>⚡ My Projects</v>
      </c>
      <c r="L64" s="2" t="s">
        <v>3319</v>
      </c>
      <c r="M64" s="2" t="s">
        <v>3320</v>
      </c>
      <c r="N64" s="4">
        <v>6</v>
      </c>
      <c r="O64" s="2" t="s">
        <v>3410</v>
      </c>
      <c r="P64" s="11" t="s">
        <v>175</v>
      </c>
      <c r="Q64" s="2" t="s">
        <v>3411</v>
      </c>
      <c r="R64" s="11" t="s">
        <v>175</v>
      </c>
      <c r="S64" s="2" t="s">
        <v>3412</v>
      </c>
      <c r="T64" s="11" t="s">
        <v>175</v>
      </c>
      <c r="U64" s="2" t="s">
        <v>3413</v>
      </c>
      <c r="V64" s="11" t="s">
        <v>175</v>
      </c>
      <c r="W64" s="2" t="s">
        <v>3414</v>
      </c>
      <c r="X64" s="11" t="s">
        <v>175</v>
      </c>
      <c r="Y64" s="2" t="s">
        <v>3415</v>
      </c>
      <c r="Z64" s="11" t="s">
        <v>175</v>
      </c>
      <c r="AH64" s="11">
        <f>SUBTOTAL(3,_xlfn.SINGLE(tbl_code[RowId]))</f>
        <v>1</v>
      </c>
    </row>
    <row r="65" spans="10:34">
      <c r="J65" s="4">
        <v>55</v>
      </c>
      <c r="K65" s="21" t="str">
        <f>HYPERLINK("obsidian://open?vault=o2&amp;file=%E2%9A%A1%20Office%20Desk%20Design%20Project.md","⚡ Office Desk Design Project")</f>
        <v>⚡ Office Desk Design Project</v>
      </c>
      <c r="L65" s="2" t="s">
        <v>3291</v>
      </c>
      <c r="M65" s="2" t="s">
        <v>3292</v>
      </c>
      <c r="N65" s="4">
        <v>1</v>
      </c>
      <c r="O65" s="2" t="s">
        <v>3318</v>
      </c>
      <c r="P65" s="11" t="s">
        <v>175</v>
      </c>
      <c r="AH65" s="11">
        <f>SUBTOTAL(3,_xlfn.SINGLE(tbl_code[RowId]))</f>
        <v>1</v>
      </c>
    </row>
    <row r="66" spans="10:34">
      <c r="J66" s="4">
        <v>56</v>
      </c>
      <c r="K66" s="21" t="str">
        <f>HYPERLINK("obsidian://open?vault=o2&amp;file=%E2%9A%A1%20Office%20Desk%20Design%20Project.md","⚡ Office Desk Design Project")</f>
        <v>⚡ Office Desk Design Project</v>
      </c>
      <c r="L66" s="2" t="s">
        <v>3319</v>
      </c>
      <c r="M66" s="2" t="s">
        <v>3320</v>
      </c>
      <c r="N66" s="4">
        <v>1</v>
      </c>
      <c r="O66" s="2" t="s">
        <v>3416</v>
      </c>
      <c r="P66" s="11" t="s">
        <v>175</v>
      </c>
      <c r="AH66" s="11">
        <f>SUBTOTAL(3,_xlfn.SINGLE(tbl_code[RowId]))</f>
        <v>1</v>
      </c>
    </row>
    <row r="67" spans="10:34">
      <c r="J67" s="4">
        <v>57</v>
      </c>
      <c r="K67" s="21" t="str">
        <f>HYPERLINK("obsidian://open?vault=o2&amp;file=%E2%9A%A1%20Print%20On%20Demand%20Project.md","⚡ Print On Demand Project")</f>
        <v>⚡ Print On Demand Project</v>
      </c>
      <c r="L67" s="2" t="s">
        <v>3291</v>
      </c>
      <c r="M67" s="2" t="s">
        <v>3292</v>
      </c>
      <c r="N67" s="4">
        <v>1</v>
      </c>
      <c r="O67" s="2" t="s">
        <v>3318</v>
      </c>
      <c r="P67" s="11" t="s">
        <v>175</v>
      </c>
      <c r="AH67" s="11">
        <f>SUBTOTAL(3,_xlfn.SINGLE(tbl_code[RowId]))</f>
        <v>1</v>
      </c>
    </row>
    <row r="68" spans="10:34">
      <c r="J68" s="4">
        <v>58</v>
      </c>
      <c r="K68" s="21" t="str">
        <f>HYPERLINK("obsidian://open?vault=o2&amp;file=%E2%9A%A1%20Print%20On%20Demand%20Project.md","⚡ Print On Demand Project")</f>
        <v>⚡ Print On Demand Project</v>
      </c>
      <c r="L68" s="2" t="s">
        <v>3319</v>
      </c>
      <c r="M68" s="2" t="s">
        <v>3320</v>
      </c>
      <c r="N68" s="4">
        <v>1</v>
      </c>
      <c r="O68" s="2" t="s">
        <v>3417</v>
      </c>
      <c r="P68" s="11" t="s">
        <v>175</v>
      </c>
      <c r="AH68" s="11">
        <f>SUBTOTAL(3,_xlfn.SINGLE(tbl_code[RowId]))</f>
        <v>1</v>
      </c>
    </row>
    <row r="69" spans="10:34">
      <c r="J69" s="4">
        <v>59</v>
      </c>
      <c r="K69" s="21" t="str">
        <f>HYPERLINK("obsidian://open?vault=o2&amp;file=Install%20Hypersnap%209.md","Install Hypersnap 9")</f>
        <v>Install Hypersnap 9</v>
      </c>
      <c r="L69" s="2"/>
      <c r="M69" s="2" t="s">
        <v>3294</v>
      </c>
      <c r="N69" s="4">
        <v>2</v>
      </c>
      <c r="O69" s="2" t="s">
        <v>3418</v>
      </c>
      <c r="P69" s="11" t="s">
        <v>175</v>
      </c>
      <c r="Q69" s="2" t="s">
        <v>3419</v>
      </c>
      <c r="R69" s="11" t="s">
        <v>175</v>
      </c>
      <c r="AH69" s="11">
        <f>SUBTOTAL(3,_xlfn.SINGLE(tbl_code[RowId]))</f>
        <v>1</v>
      </c>
    </row>
    <row r="70" spans="10:34">
      <c r="J70" s="4">
        <v>60</v>
      </c>
      <c r="K70" s="21" t="str">
        <f>HYPERLINK("obsidian://open?vault=o2&amp;file=%E2%9A%A1%20Rebuild%20PC%20Project.md","⚡ Rebuild PC Project")</f>
        <v>⚡ Rebuild PC Project</v>
      </c>
      <c r="L70" s="2" t="s">
        <v>3291</v>
      </c>
      <c r="M70" s="2" t="s">
        <v>3292</v>
      </c>
      <c r="N70" s="4">
        <v>1</v>
      </c>
      <c r="O70" s="2" t="s">
        <v>3318</v>
      </c>
      <c r="P70" s="11" t="s">
        <v>175</v>
      </c>
      <c r="AH70" s="11">
        <f>SUBTOTAL(3,_xlfn.SINGLE(tbl_code[RowId]))</f>
        <v>1</v>
      </c>
    </row>
    <row r="71" spans="10:34">
      <c r="J71" s="4">
        <v>61</v>
      </c>
      <c r="K71" s="21" t="str">
        <f>HYPERLINK("obsidian://open?vault=o2&amp;file=%E2%9A%A1%20Rebuild%20PC%20Project.md","⚡ Rebuild PC Project")</f>
        <v>⚡ Rebuild PC Project</v>
      </c>
      <c r="L71" s="2" t="s">
        <v>3319</v>
      </c>
      <c r="M71" s="2" t="s">
        <v>3320</v>
      </c>
      <c r="N71" s="4">
        <v>1</v>
      </c>
      <c r="O71" s="2" t="s">
        <v>3420</v>
      </c>
      <c r="P71" s="11" t="s">
        <v>175</v>
      </c>
      <c r="AH71" s="11">
        <f>SUBTOTAL(3,_xlfn.SINGLE(tbl_code[RowId]))</f>
        <v>1</v>
      </c>
    </row>
    <row r="72" spans="10:34">
      <c r="J72" s="4">
        <v>62</v>
      </c>
      <c r="K72" s="21" t="str">
        <f>HYPERLINK("obsidian://open?vault=o2&amp;file=%E2%9A%A1%20Recovery%20Project.md","⚡ Recovery Project")</f>
        <v>⚡ Recovery Project</v>
      </c>
      <c r="L72" s="2" t="s">
        <v>3291</v>
      </c>
      <c r="M72" s="2" t="s">
        <v>3292</v>
      </c>
      <c r="N72" s="4">
        <v>1</v>
      </c>
      <c r="O72" s="2" t="s">
        <v>3318</v>
      </c>
      <c r="P72" s="11" t="s">
        <v>175</v>
      </c>
      <c r="AH72" s="11">
        <f>SUBTOTAL(3,_xlfn.SINGLE(tbl_code[RowId]))</f>
        <v>1</v>
      </c>
    </row>
    <row r="73" spans="10:34">
      <c r="J73" s="4">
        <v>63</v>
      </c>
      <c r="K73" s="21" t="str">
        <f>HYPERLINK("obsidian://open?vault=o2&amp;file=%E2%9A%A1%20Recovery%20Project.md","⚡ Recovery Project")</f>
        <v>⚡ Recovery Project</v>
      </c>
      <c r="L73" s="2" t="s">
        <v>3319</v>
      </c>
      <c r="M73" s="2" t="s">
        <v>3320</v>
      </c>
      <c r="N73" s="4">
        <v>1</v>
      </c>
      <c r="O73" s="2" t="s">
        <v>3421</v>
      </c>
      <c r="P73" s="11" t="s">
        <v>175</v>
      </c>
      <c r="AH73" s="11">
        <f>SUBTOTAL(3,_xlfn.SINGLE(tbl_code[RowId]))</f>
        <v>1</v>
      </c>
    </row>
    <row r="74" spans="10:34">
      <c r="J74" s="4">
        <v>64</v>
      </c>
      <c r="K74" s="21" t="str">
        <f>HYPERLINK("obsidian://open?vault=o2&amp;file=Set%20Up%20and%20Secure%20a%20Compute%20Instance.md","Set Up and Secure a Compute Instance")</f>
        <v>Set Up and Secure a Compute Instance</v>
      </c>
      <c r="L74" s="2"/>
      <c r="M74" s="2" t="s">
        <v>3294</v>
      </c>
      <c r="N74" s="4">
        <v>32</v>
      </c>
      <c r="O74" s="2" t="s">
        <v>3422</v>
      </c>
      <c r="P74" s="11" t="s">
        <v>175</v>
      </c>
      <c r="Q74" s="2" t="s">
        <v>3423</v>
      </c>
      <c r="R74" s="11" t="s">
        <v>175</v>
      </c>
      <c r="S74" s="2" t="s">
        <v>3424</v>
      </c>
      <c r="T74" s="11" t="s">
        <v>175</v>
      </c>
      <c r="U74" s="2" t="s">
        <v>3425</v>
      </c>
      <c r="V74" s="11" t="s">
        <v>175</v>
      </c>
      <c r="W74" s="2" t="s">
        <v>3426</v>
      </c>
      <c r="X74" s="11" t="s">
        <v>175</v>
      </c>
      <c r="Y74" s="2" t="s">
        <v>3427</v>
      </c>
      <c r="Z74" s="11" t="s">
        <v>175</v>
      </c>
      <c r="AA74" s="2" t="s">
        <v>3428</v>
      </c>
      <c r="AB74" s="11" t="s">
        <v>175</v>
      </c>
      <c r="AC74" s="2" t="s">
        <v>3429</v>
      </c>
      <c r="AD74" s="11" t="s">
        <v>175</v>
      </c>
      <c r="AE74" s="2" t="s">
        <v>3430</v>
      </c>
      <c r="AF74" s="11" t="s">
        <v>175</v>
      </c>
      <c r="AG74" s="2" t="s">
        <v>3431</v>
      </c>
      <c r="AH74" s="11">
        <f>SUBTOTAL(3,_xlfn.SINGLE(tbl_code[RowId]))</f>
        <v>1</v>
      </c>
    </row>
    <row r="75" spans="10:34">
      <c r="J75" s="4">
        <v>65</v>
      </c>
      <c r="K75" s="21" t="str">
        <f>HYPERLINK("obsidian://open?vault=o2&amp;file=%E2%9A%A1%20Setup%20Linode%20Server%20Project.md","⚡ Setup Linode Server Project")</f>
        <v>⚡ Setup Linode Server Project</v>
      </c>
      <c r="L75" s="2" t="s">
        <v>3291</v>
      </c>
      <c r="M75" s="2" t="s">
        <v>3292</v>
      </c>
      <c r="N75" s="4">
        <v>1</v>
      </c>
      <c r="O75" s="2" t="s">
        <v>3318</v>
      </c>
      <c r="P75" s="11" t="s">
        <v>175</v>
      </c>
      <c r="AH75" s="11">
        <f>SUBTOTAL(3,_xlfn.SINGLE(tbl_code[RowId]))</f>
        <v>1</v>
      </c>
    </row>
    <row r="76" spans="10:34">
      <c r="J76" s="4">
        <v>66</v>
      </c>
      <c r="K76" s="21" t="str">
        <f>HYPERLINK("obsidian://open?vault=o2&amp;file=%E2%9A%A1%20Setup%20Linode%20Server%20Project.md","⚡ Setup Linode Server Project")</f>
        <v>⚡ Setup Linode Server Project</v>
      </c>
      <c r="L76" s="2" t="s">
        <v>3319</v>
      </c>
      <c r="M76" s="2" t="s">
        <v>3320</v>
      </c>
      <c r="N76" s="4">
        <v>1</v>
      </c>
      <c r="O76" s="2" t="s">
        <v>3432</v>
      </c>
      <c r="P76" s="11" t="s">
        <v>175</v>
      </c>
      <c r="AH76" s="11">
        <f>SUBTOTAL(3,_xlfn.SINGLE(tbl_code[RowId]))</f>
        <v>1</v>
      </c>
    </row>
    <row r="77" spans="10:34">
      <c r="J77" s="4">
        <v>67</v>
      </c>
      <c r="K77" s="21" t="str">
        <f>HYPERLINK("obsidian://open?vault=o2&amp;file=%F0%9F%93%8C%20My%20Kanbans.md","📌 My Kanbans")</f>
        <v>📌 My Kanbans</v>
      </c>
      <c r="L77" s="2" t="s">
        <v>3291</v>
      </c>
      <c r="M77" s="2" t="s">
        <v>3292</v>
      </c>
      <c r="N77" s="4">
        <v>1</v>
      </c>
      <c r="O77" s="2" t="s">
        <v>3433</v>
      </c>
      <c r="P77" s="11" t="s">
        <v>175</v>
      </c>
      <c r="AH77" s="11">
        <f>SUBTOTAL(3,_xlfn.SINGLE(tbl_code[RowId]))</f>
        <v>1</v>
      </c>
    </row>
    <row r="78" spans="10:34">
      <c r="J78" s="4">
        <v>68</v>
      </c>
      <c r="K78" s="21" t="str">
        <f>HYPERLINK("obsidian://open?vault=o2&amp;file=%F0%9F%93%8C%20My%20Kanbans.md","📌 My Kanbans")</f>
        <v>📌 My Kanbans</v>
      </c>
      <c r="L78" s="2" t="s">
        <v>3319</v>
      </c>
      <c r="M78" s="2" t="s">
        <v>3320</v>
      </c>
      <c r="N78" s="4">
        <v>1</v>
      </c>
      <c r="O78" s="2" t="s">
        <v>3434</v>
      </c>
      <c r="P78" s="11" t="s">
        <v>175</v>
      </c>
      <c r="AH78" s="11">
        <f>SUBTOTAL(3,_xlfn.SINGLE(tbl_code[RowId]))</f>
        <v>1</v>
      </c>
    </row>
    <row r="79" spans="10:34">
      <c r="J79" s="4">
        <v>69</v>
      </c>
      <c r="K79" s="21" t="str">
        <f>HYPERLINK("obsidian://open?vault=o2&amp;file=10th%20Step%20Homework.md","10th Step Homework")</f>
        <v>10th Step Homework</v>
      </c>
      <c r="L79" s="2"/>
      <c r="M79" s="2" t="s">
        <v>3294</v>
      </c>
      <c r="N79" s="4">
        <v>1</v>
      </c>
      <c r="O79" s="2" t="s">
        <v>3435</v>
      </c>
      <c r="P79" s="11" t="s">
        <v>175</v>
      </c>
      <c r="AH79" s="11">
        <f>SUBTOTAL(3,_xlfn.SINGLE(tbl_code[RowId]))</f>
        <v>1</v>
      </c>
    </row>
    <row r="80" spans="10:34">
      <c r="J80" s="4">
        <v>70</v>
      </c>
      <c r="K80" s="21" t="str">
        <f>HYPERLINK("obsidian://open?vault=o2&amp;file=2-Areas.md","2-Areas")</f>
        <v>2-Areas</v>
      </c>
      <c r="L80" s="2" t="s">
        <v>3291</v>
      </c>
      <c r="M80" s="2" t="s">
        <v>3292</v>
      </c>
      <c r="N80" s="4">
        <v>2</v>
      </c>
      <c r="O80" s="2" t="s">
        <v>3436</v>
      </c>
      <c r="P80" s="11" t="s">
        <v>175</v>
      </c>
      <c r="Q80" s="2" t="s">
        <v>3437</v>
      </c>
      <c r="R80" s="11" t="s">
        <v>175</v>
      </c>
      <c r="AH80" s="11">
        <f>SUBTOTAL(3,_xlfn.SINGLE(tbl_code[RowId]))</f>
        <v>1</v>
      </c>
    </row>
    <row r="81" spans="10:34">
      <c r="J81" s="4">
        <v>71</v>
      </c>
      <c r="K81" s="21" t="str">
        <f>HYPERLINK("obsidian://open?vault=o2&amp;file=2-Areas.md","2-Areas")</f>
        <v>2-Areas</v>
      </c>
      <c r="L81" s="2" t="s">
        <v>3288</v>
      </c>
      <c r="M81" s="2" t="s">
        <v>3289</v>
      </c>
      <c r="N81" s="4">
        <v>1</v>
      </c>
      <c r="O81" s="2" t="s">
        <v>3290</v>
      </c>
      <c r="P81" s="11" t="s">
        <v>175</v>
      </c>
      <c r="AH81" s="11">
        <f>SUBTOTAL(3,_xlfn.SINGLE(tbl_code[RowId]))</f>
        <v>1</v>
      </c>
    </row>
    <row r="82" spans="10:34">
      <c r="J82" s="4">
        <v>72</v>
      </c>
      <c r="K82" s="21" t="str">
        <f>HYPERLINK("obsidian://open?vault=o2&amp;file=%E2%9A%93%20AA%20Recovery.md","⚓ AA Recovery")</f>
        <v>⚓ AA Recovery</v>
      </c>
      <c r="L82" s="2" t="s">
        <v>3291</v>
      </c>
      <c r="M82" s="2" t="s">
        <v>3292</v>
      </c>
      <c r="N82" s="4">
        <v>2</v>
      </c>
      <c r="O82" s="2" t="s">
        <v>3293</v>
      </c>
      <c r="P82" s="11" t="s">
        <v>175</v>
      </c>
      <c r="Q82" s="2" t="s">
        <v>3438</v>
      </c>
      <c r="R82" s="11" t="s">
        <v>175</v>
      </c>
      <c r="AH82" s="11">
        <f>SUBTOTAL(3,_xlfn.SINGLE(tbl_code[RowId]))</f>
        <v>1</v>
      </c>
    </row>
    <row r="83" spans="10:34">
      <c r="J83" s="4">
        <v>73</v>
      </c>
      <c r="K83" s="21" t="str">
        <f>HYPERLINK("obsidian://open?vault=o2&amp;file=%E2%9A%93%20AA%20Recovery.md","⚓ AA Recovery")</f>
        <v>⚓ AA Recovery</v>
      </c>
      <c r="L83" s="2" t="s">
        <v>3319</v>
      </c>
      <c r="M83" s="2" t="s">
        <v>3320</v>
      </c>
      <c r="N83" s="4">
        <v>3</v>
      </c>
      <c r="O83" s="2" t="s">
        <v>3439</v>
      </c>
      <c r="P83" s="11" t="s">
        <v>175</v>
      </c>
      <c r="Q83" s="2" t="s">
        <v>3440</v>
      </c>
      <c r="R83" s="11" t="s">
        <v>175</v>
      </c>
      <c r="S83" s="2" t="s">
        <v>3441</v>
      </c>
      <c r="T83" s="11" t="s">
        <v>175</v>
      </c>
      <c r="AH83" s="11">
        <f>SUBTOTAL(3,_xlfn.SINGLE(tbl_code[RowId]))</f>
        <v>1</v>
      </c>
    </row>
    <row r="84" spans="10:34">
      <c r="J84" s="4">
        <v>74</v>
      </c>
      <c r="K84" s="21" t="str">
        <f>HYPERLINK("obsidian://open?vault=o2&amp;file=VBA%20Script%20to%20Load%20Folder%20images%20into%20Excel.md","VBA Script to Load Folder images into Excel")</f>
        <v>VBA Script to Load Folder images into Excel</v>
      </c>
      <c r="L84" s="2"/>
      <c r="M84" s="2" t="s">
        <v>3294</v>
      </c>
      <c r="N84" s="4">
        <v>1</v>
      </c>
      <c r="O84" s="2" t="s">
        <v>3442</v>
      </c>
      <c r="P84" s="11" t="s">
        <v>175</v>
      </c>
      <c r="AH84" s="11">
        <f>SUBTOTAL(3,_xlfn.SINGLE(tbl_code[RowId]))</f>
        <v>1</v>
      </c>
    </row>
    <row r="85" spans="10:34">
      <c r="J85" s="4">
        <v>75</v>
      </c>
      <c r="K85" s="21" t="str">
        <f>HYPERLINK("obsidian://open?vault=o2&amp;file=%E2%9A%93%20CWS.md","⚓ CWS")</f>
        <v>⚓ CWS</v>
      </c>
      <c r="L85" s="2" t="s">
        <v>3291</v>
      </c>
      <c r="M85" s="2" t="s">
        <v>3292</v>
      </c>
      <c r="N85" s="4">
        <v>2</v>
      </c>
      <c r="O85" s="2" t="s">
        <v>3293</v>
      </c>
      <c r="P85" s="11" t="s">
        <v>175</v>
      </c>
      <c r="Q85" s="2" t="s">
        <v>3438</v>
      </c>
      <c r="R85" s="11" t="s">
        <v>175</v>
      </c>
      <c r="AH85" s="11">
        <f>SUBTOTAL(3,_xlfn.SINGLE(tbl_code[RowId]))</f>
        <v>1</v>
      </c>
    </row>
    <row r="86" spans="10:34">
      <c r="J86" s="4">
        <v>76</v>
      </c>
      <c r="K86" s="21" t="str">
        <f>HYPERLINK("obsidian://open?vault=o2&amp;file=%E2%9A%93%20CWS.md","⚓ CWS")</f>
        <v>⚓ CWS</v>
      </c>
      <c r="L86" s="2" t="s">
        <v>3319</v>
      </c>
      <c r="M86" s="2" t="s">
        <v>3320</v>
      </c>
      <c r="N86" s="4">
        <v>3</v>
      </c>
      <c r="O86" s="2" t="s">
        <v>3443</v>
      </c>
      <c r="P86" s="11" t="s">
        <v>175</v>
      </c>
      <c r="Q86" s="2" t="s">
        <v>3444</v>
      </c>
      <c r="R86" s="11" t="s">
        <v>175</v>
      </c>
      <c r="S86" s="2" t="s">
        <v>3445</v>
      </c>
      <c r="T86" s="11" t="s">
        <v>175</v>
      </c>
      <c r="AH86" s="11">
        <f>SUBTOTAL(3,_xlfn.SINGLE(tbl_code[RowId]))</f>
        <v>1</v>
      </c>
    </row>
    <row r="87" spans="10:34">
      <c r="J87" s="4">
        <v>77</v>
      </c>
      <c r="K87" s="21" t="str">
        <f>HYPERLINK("obsidian://open?vault=o2&amp;file=%E2%9A%93%20Family.md","⚓ Family")</f>
        <v>⚓ Family</v>
      </c>
      <c r="L87" s="2" t="s">
        <v>3291</v>
      </c>
      <c r="M87" s="2" t="s">
        <v>3292</v>
      </c>
      <c r="N87" s="4">
        <v>2</v>
      </c>
      <c r="O87" s="2" t="s">
        <v>3293</v>
      </c>
      <c r="P87" s="11" t="s">
        <v>175</v>
      </c>
      <c r="Q87" s="2" t="s">
        <v>3438</v>
      </c>
      <c r="R87" s="11" t="s">
        <v>175</v>
      </c>
      <c r="AH87" s="11">
        <f>SUBTOTAL(3,_xlfn.SINGLE(tbl_code[RowId]))</f>
        <v>1</v>
      </c>
    </row>
    <row r="88" spans="10:34">
      <c r="J88" s="4">
        <v>78</v>
      </c>
      <c r="K88" s="21" t="str">
        <f>HYPERLINK("obsidian://open?vault=o2&amp;file=%E2%9A%93%20Family.md","⚓ Family")</f>
        <v>⚓ Family</v>
      </c>
      <c r="L88" s="2" t="s">
        <v>3319</v>
      </c>
      <c r="M88" s="2" t="s">
        <v>3320</v>
      </c>
      <c r="N88" s="4">
        <v>3</v>
      </c>
      <c r="O88" s="2" t="s">
        <v>3446</v>
      </c>
      <c r="P88" s="11" t="s">
        <v>175</v>
      </c>
      <c r="Q88" s="2" t="s">
        <v>3447</v>
      </c>
      <c r="R88" s="11" t="s">
        <v>175</v>
      </c>
      <c r="S88" s="2" t="s">
        <v>3448</v>
      </c>
      <c r="T88" s="11" t="s">
        <v>175</v>
      </c>
      <c r="AH88" s="11">
        <f>SUBTOTAL(3,_xlfn.SINGLE(tbl_code[RowId]))</f>
        <v>1</v>
      </c>
    </row>
    <row r="89" spans="10:34">
      <c r="J89" s="4">
        <v>79</v>
      </c>
      <c r="K89" s="21" t="str">
        <f>HYPERLINK("obsidian://open?vault=o2&amp;file=%E2%9A%93%20Finances.md","⚓ Finances")</f>
        <v>⚓ Finances</v>
      </c>
      <c r="L89" s="2" t="s">
        <v>3291</v>
      </c>
      <c r="M89" s="2" t="s">
        <v>3292</v>
      </c>
      <c r="N89" s="4">
        <v>2</v>
      </c>
      <c r="O89" s="2" t="s">
        <v>3293</v>
      </c>
      <c r="P89" s="11" t="s">
        <v>175</v>
      </c>
      <c r="Q89" s="2" t="s">
        <v>3438</v>
      </c>
      <c r="R89" s="11" t="s">
        <v>175</v>
      </c>
      <c r="AH89" s="11">
        <f>SUBTOTAL(3,_xlfn.SINGLE(tbl_code[RowId]))</f>
        <v>1</v>
      </c>
    </row>
    <row r="90" spans="10:34">
      <c r="J90" s="4">
        <v>80</v>
      </c>
      <c r="K90" s="21" t="str">
        <f>HYPERLINK("obsidian://open?vault=o2&amp;file=%E2%9A%93%20Finances.md","⚓ Finances")</f>
        <v>⚓ Finances</v>
      </c>
      <c r="L90" s="2" t="s">
        <v>3319</v>
      </c>
      <c r="M90" s="2" t="s">
        <v>3320</v>
      </c>
      <c r="N90" s="4">
        <v>3</v>
      </c>
      <c r="O90" s="2" t="s">
        <v>3449</v>
      </c>
      <c r="P90" s="11" t="s">
        <v>175</v>
      </c>
      <c r="Q90" s="2" t="s">
        <v>3450</v>
      </c>
      <c r="R90" s="11" t="s">
        <v>175</v>
      </c>
      <c r="S90" s="2" t="s">
        <v>3451</v>
      </c>
      <c r="T90" s="11" t="s">
        <v>175</v>
      </c>
      <c r="AH90" s="11">
        <f>SUBTOTAL(3,_xlfn.SINGLE(tbl_code[RowId]))</f>
        <v>1</v>
      </c>
    </row>
    <row r="91" spans="10:34">
      <c r="J91" s="4">
        <v>81</v>
      </c>
      <c r="K91" s="21" t="str">
        <f>HYPERLINK("obsidian://open?vault=o2&amp;file=%E2%9A%93%20Health.md","⚓ Health")</f>
        <v>⚓ Health</v>
      </c>
      <c r="L91" s="2" t="s">
        <v>3291</v>
      </c>
      <c r="M91" s="2" t="s">
        <v>3292</v>
      </c>
      <c r="N91" s="4">
        <v>2</v>
      </c>
      <c r="O91" s="2" t="s">
        <v>3293</v>
      </c>
      <c r="P91" s="11" t="s">
        <v>175</v>
      </c>
      <c r="Q91" s="2" t="s">
        <v>3438</v>
      </c>
      <c r="R91" s="11" t="s">
        <v>175</v>
      </c>
      <c r="AH91" s="11">
        <f>SUBTOTAL(3,_xlfn.SINGLE(tbl_code[RowId]))</f>
        <v>1</v>
      </c>
    </row>
    <row r="92" spans="10:34">
      <c r="J92" s="4">
        <v>82</v>
      </c>
      <c r="K92" s="21" t="str">
        <f>HYPERLINK("obsidian://open?vault=o2&amp;file=%E2%9A%93%20Health.md","⚓ Health")</f>
        <v>⚓ Health</v>
      </c>
      <c r="L92" s="2" t="s">
        <v>3319</v>
      </c>
      <c r="M92" s="2" t="s">
        <v>3320</v>
      </c>
      <c r="N92" s="4">
        <v>3</v>
      </c>
      <c r="O92" s="2" t="s">
        <v>3452</v>
      </c>
      <c r="P92" s="11" t="s">
        <v>175</v>
      </c>
      <c r="Q92" s="2" t="s">
        <v>3453</v>
      </c>
      <c r="R92" s="11" t="s">
        <v>175</v>
      </c>
      <c r="S92" s="2" t="s">
        <v>3454</v>
      </c>
      <c r="T92" s="11" t="s">
        <v>175</v>
      </c>
      <c r="AH92" s="11">
        <f>SUBTOTAL(3,_xlfn.SINGLE(tbl_code[RowId]))</f>
        <v>1</v>
      </c>
    </row>
    <row r="93" spans="10:34">
      <c r="J93" s="4">
        <v>83</v>
      </c>
      <c r="K93" s="21" t="str">
        <f>HYPERLINK("obsidian://open?vault=o2&amp;file=2025-04-03.md","2025-04-03")</f>
        <v>2025-04-03</v>
      </c>
      <c r="L93" s="2" t="s">
        <v>3455</v>
      </c>
      <c r="M93" s="2" t="s">
        <v>3456</v>
      </c>
      <c r="N93" s="4">
        <v>1</v>
      </c>
      <c r="O93" s="2" t="s">
        <v>3457</v>
      </c>
      <c r="P93" s="11" t="s">
        <v>175</v>
      </c>
      <c r="AH93" s="11">
        <f>SUBTOTAL(3,_xlfn.SINGLE(tbl_code[RowId]))</f>
        <v>1</v>
      </c>
    </row>
    <row r="94" spans="10:34">
      <c r="J94" s="4">
        <v>84</v>
      </c>
      <c r="K94" s="21" t="str">
        <f>HYPERLINK("obsidian://open?vault=o2&amp;file=3-Resources.md","3-Resources")</f>
        <v>3-Resources</v>
      </c>
      <c r="L94" s="2" t="s">
        <v>3288</v>
      </c>
      <c r="M94" s="2" t="s">
        <v>3289</v>
      </c>
      <c r="N94" s="4">
        <v>1</v>
      </c>
      <c r="O94" s="2" t="s">
        <v>3290</v>
      </c>
      <c r="P94" s="11" t="s">
        <v>175</v>
      </c>
      <c r="AH94" s="11">
        <f>SUBTOTAL(3,_xlfn.SINGLE(tbl_code[RowId]))</f>
        <v>1</v>
      </c>
    </row>
    <row r="95" spans="10:34">
      <c r="J95" s="4">
        <v>85</v>
      </c>
      <c r="K95" s="21" t="str">
        <f>HYPERLINK("obsidian://open?vault=o2&amp;file=Windows%2010%20and%2011%20Wont%20Boot%2C%20How%20To%20Fix%20UEFI%20Partition.md","Windows 10 and 11 Wont Boot, How To Fix UEFI Partition")</f>
        <v>Windows 10 and 11 Wont Boot, How To Fix UEFI Partition</v>
      </c>
      <c r="L95" s="2"/>
      <c r="M95" s="2" t="s">
        <v>3294</v>
      </c>
      <c r="N95" s="4">
        <v>1</v>
      </c>
      <c r="O95" s="2" t="s">
        <v>3458</v>
      </c>
      <c r="P95" s="11" t="s">
        <v>175</v>
      </c>
      <c r="AH95" s="11">
        <f>SUBTOTAL(3,_xlfn.SINGLE(tbl_code[RowId]))</f>
        <v>1</v>
      </c>
    </row>
    <row r="96" spans="10:34">
      <c r="J96" s="4">
        <v>86</v>
      </c>
      <c r="K96" s="21" t="str">
        <f>HYPERLINK("obsidian://open?vault=o2&amp;file=Forte-Building%20a%20Second%20Brain.md","Forte-Building a Second Brain")</f>
        <v>Forte-Building a Second Brain</v>
      </c>
      <c r="L96" s="2"/>
      <c r="M96" s="2" t="s">
        <v>3294</v>
      </c>
      <c r="N96" s="4">
        <v>1</v>
      </c>
      <c r="O96" s="2" t="s">
        <v>3459</v>
      </c>
      <c r="P96" s="11" t="s">
        <v>175</v>
      </c>
      <c r="AH96" s="11">
        <f>SUBTOTAL(3,_xlfn.SINGLE(tbl_code[RowId]))</f>
        <v>1</v>
      </c>
    </row>
    <row r="97" spans="10:34">
      <c r="J97" s="4">
        <v>87</v>
      </c>
      <c r="K97"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L97" s="2"/>
      <c r="M97" s="2" t="s">
        <v>3460</v>
      </c>
      <c r="N97" s="4">
        <v>2</v>
      </c>
      <c r="O97" s="2" t="s">
        <v>3461</v>
      </c>
      <c r="P97" s="11" t="s">
        <v>175</v>
      </c>
      <c r="Q97" s="2" t="s">
        <v>3462</v>
      </c>
      <c r="R97" s="11" t="s">
        <v>175</v>
      </c>
      <c r="AH97" s="11">
        <f>SUBTOTAL(3,_xlfn.SINGLE(tbl_code[RowId]))</f>
        <v>1</v>
      </c>
    </row>
    <row r="98" spans="10:34">
      <c r="J98" s="4">
        <v>88</v>
      </c>
      <c r="K98" s="21" t="str">
        <f>HYPERLINK("obsidian://open?vault=o2&amp;file=How%20to%20Make%20Changes%20to%20Multiple%20Files%20Using%20Python%20%20Envato%20Tuts%2B.md","How to Make Changes to Multiple Files Using Python  Envato Tuts+")</f>
        <v>How to Make Changes to Multiple Files Using Python  Envato Tuts+</v>
      </c>
      <c r="L98" s="2"/>
      <c r="M98" s="2" t="s">
        <v>3294</v>
      </c>
      <c r="N98" s="4">
        <v>8</v>
      </c>
      <c r="O98" s="2" t="s">
        <v>3463</v>
      </c>
      <c r="P98" s="11" t="s">
        <v>175</v>
      </c>
      <c r="Q98" s="2" t="s">
        <v>3464</v>
      </c>
      <c r="R98" s="11" t="s">
        <v>175</v>
      </c>
      <c r="S98" s="2" t="s">
        <v>3465</v>
      </c>
      <c r="T98" s="11" t="s">
        <v>175</v>
      </c>
      <c r="U98" s="2" t="s">
        <v>3466</v>
      </c>
      <c r="V98" s="11" t="s">
        <v>175</v>
      </c>
      <c r="W98" s="2" t="s">
        <v>3467</v>
      </c>
      <c r="X98" s="11" t="s">
        <v>175</v>
      </c>
      <c r="Y98" s="2" t="s">
        <v>3468</v>
      </c>
      <c r="Z98" s="11" t="s">
        <v>175</v>
      </c>
      <c r="AA98" s="2" t="s">
        <v>3469</v>
      </c>
      <c r="AB98" s="11" t="s">
        <v>175</v>
      </c>
      <c r="AC98" s="2" t="s">
        <v>3470</v>
      </c>
      <c r="AD98" s="11" t="s">
        <v>175</v>
      </c>
      <c r="AH98" s="11">
        <f>SUBTOTAL(3,_xlfn.SINGLE(tbl_code[RowId]))</f>
        <v>1</v>
      </c>
    </row>
    <row r="99" spans="10:34">
      <c r="J99" s="4">
        <v>89</v>
      </c>
      <c r="K99" s="21" t="str">
        <f>HYPERLINK("obsidian://open?vault=o2&amp;file=Python%20Style%20Guide.md","Python Style Guide")</f>
        <v>Python Style Guide</v>
      </c>
      <c r="L99" s="2"/>
      <c r="M99" s="2" t="s">
        <v>3294</v>
      </c>
      <c r="N99" s="4">
        <v>135</v>
      </c>
      <c r="O99" s="2" t="s">
        <v>3471</v>
      </c>
      <c r="P99" s="11" t="s">
        <v>175</v>
      </c>
      <c r="Q99" s="2" t="s">
        <v>3472</v>
      </c>
      <c r="R99" s="11" t="s">
        <v>175</v>
      </c>
      <c r="S99" s="2" t="s">
        <v>3473</v>
      </c>
      <c r="T99" s="11" t="s">
        <v>175</v>
      </c>
      <c r="U99" s="2" t="s">
        <v>3474</v>
      </c>
      <c r="V99" s="11" t="s">
        <v>175</v>
      </c>
      <c r="W99" s="2" t="s">
        <v>3475</v>
      </c>
      <c r="X99" s="11" t="s">
        <v>175</v>
      </c>
      <c r="Y99" s="2" t="s">
        <v>3476</v>
      </c>
      <c r="Z99" s="11" t="s">
        <v>175</v>
      </c>
      <c r="AA99" s="2" t="s">
        <v>3477</v>
      </c>
      <c r="AB99" s="11" t="s">
        <v>175</v>
      </c>
      <c r="AC99" s="2" t="s">
        <v>3478</v>
      </c>
      <c r="AD99" s="11" t="s">
        <v>175</v>
      </c>
      <c r="AE99" s="2" t="s">
        <v>3479</v>
      </c>
      <c r="AF99" s="11" t="s">
        <v>175</v>
      </c>
      <c r="AG99" s="2" t="s">
        <v>3480</v>
      </c>
      <c r="AH99" s="11">
        <f>SUBTOTAL(3,_xlfn.SINGLE(tbl_code[RowId]))</f>
        <v>1</v>
      </c>
    </row>
    <row r="100" spans="10:34">
      <c r="J100" s="4">
        <v>90</v>
      </c>
      <c r="K100" s="21" t="str">
        <f>HYPERLINK("obsidian://open?vault=o2&amp;file=Download%20amCharts%205%20-%20amCharts.md","Download amCharts 5 - amCharts")</f>
        <v>Download amCharts 5 - amCharts</v>
      </c>
      <c r="L100" s="2"/>
      <c r="M100" s="2" t="s">
        <v>3294</v>
      </c>
      <c r="N100" s="4">
        <v>3</v>
      </c>
      <c r="O100" s="2" t="s">
        <v>3481</v>
      </c>
      <c r="P100" s="11" t="s">
        <v>175</v>
      </c>
      <c r="Q100" s="2" t="s">
        <v>3482</v>
      </c>
      <c r="R100" s="11" t="s">
        <v>175</v>
      </c>
      <c r="S100" s="2" t="s">
        <v>3483</v>
      </c>
      <c r="T100" s="11" t="s">
        <v>175</v>
      </c>
      <c r="AH100" s="11">
        <f>SUBTOTAL(3,_xlfn.SINGLE(tbl_code[RowId]))</f>
        <v>1</v>
      </c>
    </row>
    <row r="101" spans="10:34">
      <c r="J101" s="4">
        <v>91</v>
      </c>
      <c r="K101" s="21" t="str">
        <f>HYPERLINK("obsidian://open?vault=o2&amp;file=%F0%9F%A6%8B%20Art.md","🦋 Art")</f>
        <v>🦋 Art</v>
      </c>
      <c r="L101" s="2" t="s">
        <v>3291</v>
      </c>
      <c r="M101" s="2" t="s">
        <v>3292</v>
      </c>
      <c r="N101" s="4">
        <v>2</v>
      </c>
      <c r="O101" s="2" t="s">
        <v>3293</v>
      </c>
      <c r="P101" s="11" t="s">
        <v>175</v>
      </c>
      <c r="Q101" s="2" t="s">
        <v>3438</v>
      </c>
      <c r="R101" s="11" t="s">
        <v>175</v>
      </c>
      <c r="AH101" s="11">
        <f>SUBTOTAL(3,_xlfn.SINGLE(tbl_code[RowId]))</f>
        <v>1</v>
      </c>
    </row>
    <row r="102" spans="10:34">
      <c r="J102" s="4">
        <v>92</v>
      </c>
      <c r="K102" s="21" t="str">
        <f>HYPERLINK("obsidian://open?vault=o2&amp;file=%F0%9F%A6%8B%20Art.md","🦋 Art")</f>
        <v>🦋 Art</v>
      </c>
      <c r="L102" s="2" t="s">
        <v>3319</v>
      </c>
      <c r="M102" s="2" t="s">
        <v>3320</v>
      </c>
      <c r="N102" s="4">
        <v>3</v>
      </c>
      <c r="O102" s="2" t="s">
        <v>3484</v>
      </c>
      <c r="P102" s="11" t="s">
        <v>175</v>
      </c>
      <c r="Q102" s="2" t="s">
        <v>3485</v>
      </c>
      <c r="R102" s="11" t="s">
        <v>175</v>
      </c>
      <c r="S102" s="2" t="s">
        <v>3486</v>
      </c>
      <c r="T102" s="11" t="s">
        <v>175</v>
      </c>
      <c r="AH102" s="11">
        <f>SUBTOTAL(3,_xlfn.SINGLE(tbl_code[RowId]))</f>
        <v>1</v>
      </c>
    </row>
    <row r="103" spans="10:34">
      <c r="J103" s="4">
        <v>93</v>
      </c>
      <c r="K103" s="21" t="str">
        <f>HYPERLINK("obsidian://open?vault=o2&amp;file=%F0%9F%A6%8B%20Astronomy.md","🦋 Astronomy")</f>
        <v>🦋 Astronomy</v>
      </c>
      <c r="L103" s="2" t="s">
        <v>3291</v>
      </c>
      <c r="M103" s="2" t="s">
        <v>3292</v>
      </c>
      <c r="N103" s="4">
        <v>2</v>
      </c>
      <c r="O103" s="2" t="s">
        <v>3293</v>
      </c>
      <c r="P103" s="11" t="s">
        <v>175</v>
      </c>
      <c r="Q103" s="2" t="s">
        <v>3438</v>
      </c>
      <c r="R103" s="11" t="s">
        <v>175</v>
      </c>
      <c r="AH103" s="11">
        <f>SUBTOTAL(3,_xlfn.SINGLE(tbl_code[RowId]))</f>
        <v>1</v>
      </c>
    </row>
    <row r="104" spans="10:34">
      <c r="J104" s="4">
        <v>94</v>
      </c>
      <c r="K104" s="21" t="str">
        <f>HYPERLINK("obsidian://open?vault=o2&amp;file=%F0%9F%A6%8B%20Astronomy.md","🦋 Astronomy")</f>
        <v>🦋 Astronomy</v>
      </c>
      <c r="L104" s="2" t="s">
        <v>3319</v>
      </c>
      <c r="M104" s="2" t="s">
        <v>3320</v>
      </c>
      <c r="N104" s="4">
        <v>3</v>
      </c>
      <c r="O104" s="2" t="s">
        <v>3487</v>
      </c>
      <c r="P104" s="11" t="s">
        <v>175</v>
      </c>
      <c r="Q104" s="2" t="s">
        <v>3488</v>
      </c>
      <c r="R104" s="11" t="s">
        <v>175</v>
      </c>
      <c r="S104" s="2" t="s">
        <v>3489</v>
      </c>
      <c r="T104" s="11" t="s">
        <v>175</v>
      </c>
      <c r="AH104" s="11">
        <f>SUBTOTAL(3,_xlfn.SINGLE(tbl_code[RowId]))</f>
        <v>1</v>
      </c>
    </row>
    <row r="105" spans="10:34">
      <c r="J105" s="4">
        <v>95</v>
      </c>
      <c r="K105" s="21" t="str">
        <f>HYPERLINK("obsidian://open?vault=o2&amp;file=DV%20Directory%20Lists.md","DV Directory Lists")</f>
        <v>DV Directory Lists</v>
      </c>
      <c r="L105" s="2"/>
      <c r="M105" s="2" t="s">
        <v>3294</v>
      </c>
      <c r="N105" s="4">
        <v>12</v>
      </c>
      <c r="O105" s="2" t="s">
        <v>3490</v>
      </c>
      <c r="P105" s="11" t="s">
        <v>175</v>
      </c>
      <c r="Q105" s="2" t="s">
        <v>3491</v>
      </c>
      <c r="R105" s="11" t="s">
        <v>175</v>
      </c>
      <c r="S105" s="2" t="s">
        <v>3492</v>
      </c>
      <c r="T105" s="11" t="s">
        <v>175</v>
      </c>
      <c r="U105" s="2" t="s">
        <v>3493</v>
      </c>
      <c r="V105" s="11" t="s">
        <v>175</v>
      </c>
      <c r="W105" s="2" t="s">
        <v>3494</v>
      </c>
      <c r="X105" s="11" t="s">
        <v>175</v>
      </c>
      <c r="Y105" s="2" t="s">
        <v>3495</v>
      </c>
      <c r="Z105" s="11" t="s">
        <v>175</v>
      </c>
      <c r="AA105" s="2" t="s">
        <v>3496</v>
      </c>
      <c r="AB105" s="11" t="s">
        <v>175</v>
      </c>
      <c r="AC105" s="2" t="s">
        <v>3496</v>
      </c>
      <c r="AD105" s="11" t="s">
        <v>175</v>
      </c>
      <c r="AE105" s="2" t="s">
        <v>3497</v>
      </c>
      <c r="AF105" s="11" t="s">
        <v>175</v>
      </c>
      <c r="AG105" s="2" t="s">
        <v>3498</v>
      </c>
      <c r="AH105" s="11">
        <f>SUBTOTAL(3,_xlfn.SINGLE(tbl_code[RowId]))</f>
        <v>1</v>
      </c>
    </row>
    <row r="106" spans="10:34">
      <c r="J106" s="4">
        <v>96</v>
      </c>
      <c r="K106" s="21" t="str">
        <f>HYPERLINK("obsidian://open?vault=o2&amp;file=DV%20Implicit%20Fields.md","DV Implicit Fields")</f>
        <v>DV Implicit Fields</v>
      </c>
      <c r="L106" s="2" t="s">
        <v>3319</v>
      </c>
      <c r="M106" s="2" t="s">
        <v>3320</v>
      </c>
      <c r="N106" s="4">
        <v>1</v>
      </c>
      <c r="O106" s="2" t="s">
        <v>3499</v>
      </c>
      <c r="P106" s="11" t="s">
        <v>175</v>
      </c>
      <c r="AH106" s="11">
        <f>SUBTOTAL(3,_xlfn.SINGLE(tbl_code[RowId]))</f>
        <v>1</v>
      </c>
    </row>
    <row r="107" spans="10:34">
      <c r="J107" s="4">
        <v>97</v>
      </c>
      <c r="K107" s="21" t="str">
        <f>HYPERLINK("obsidian://open?vault=o2&amp;file=DV%20Implicit%20Fields.md","DV Implicit Fields")</f>
        <v>DV Implicit Fields</v>
      </c>
      <c r="L107" s="2"/>
      <c r="M107" s="2" t="s">
        <v>3394</v>
      </c>
      <c r="N107" s="4">
        <v>1</v>
      </c>
      <c r="O107" s="2" t="s">
        <v>3500</v>
      </c>
      <c r="P107" s="11" t="s">
        <v>175</v>
      </c>
      <c r="AH107" s="11">
        <f>SUBTOTAL(3,_xlfn.SINGLE(tbl_code[RowId]))</f>
        <v>1</v>
      </c>
    </row>
    <row r="108" spans="10:34">
      <c r="J108" s="4">
        <v>98</v>
      </c>
      <c r="K108" s="21" t="str">
        <f>HYPERLINK("obsidian://open?vault=o2&amp;file=Paul%20D%20Directory%20Template%20Test.md","Paul D Directory Template Test")</f>
        <v>Paul D Directory Template Test</v>
      </c>
      <c r="L108" s="2"/>
      <c r="M108" s="2" t="s">
        <v>3501</v>
      </c>
      <c r="N108" s="4">
        <v>1</v>
      </c>
      <c r="O108" s="2" t="s">
        <v>3502</v>
      </c>
      <c r="P108" s="11" t="s">
        <v>175</v>
      </c>
      <c r="AH108" s="11">
        <f>SUBTOTAL(3,_xlfn.SINGLE(tbl_code[RowId]))</f>
        <v>1</v>
      </c>
    </row>
    <row r="109" spans="10:34">
      <c r="J109" s="4">
        <v>99</v>
      </c>
      <c r="K109" s="21" t="str">
        <f>HYPERLINK("obsidian://open?vault=o2&amp;file=Paul%20D%20Directory%20Template%20Test.md","Paul D Directory Template Test")</f>
        <v>Paul D Directory Template Test</v>
      </c>
      <c r="L109" s="2" t="s">
        <v>3319</v>
      </c>
      <c r="M109" s="2" t="s">
        <v>3320</v>
      </c>
      <c r="N109" s="4">
        <v>1</v>
      </c>
      <c r="O109" s="2" t="s">
        <v>3503</v>
      </c>
      <c r="P109" s="11" t="s">
        <v>175</v>
      </c>
      <c r="AH109" s="11">
        <f>SUBTOTAL(3,_xlfn.SINGLE(tbl_code[RowId]))</f>
        <v>1</v>
      </c>
    </row>
    <row r="110" spans="10:34">
      <c r="J110" s="4">
        <v>100</v>
      </c>
      <c r="K110" s="21" t="str">
        <f>HYPERLINK("obsidian://open?vault=o2&amp;file=Paul%20D%20Directory%20Template%20Test.md","Paul D Directory Template Test")</f>
        <v>Paul D Directory Template Test</v>
      </c>
      <c r="L110" s="2"/>
      <c r="M110" s="2" t="s">
        <v>3504</v>
      </c>
      <c r="N110" s="4">
        <v>1</v>
      </c>
      <c r="O110" s="2" t="s">
        <v>3505</v>
      </c>
      <c r="P110" s="11" t="s">
        <v>175</v>
      </c>
      <c r="AH110" s="11">
        <f>SUBTOTAL(3,_xlfn.SINGLE(tbl_code[RowId]))</f>
        <v>1</v>
      </c>
    </row>
    <row r="111" spans="10:34">
      <c r="J111" s="4">
        <v>101</v>
      </c>
      <c r="K111" s="21" t="str">
        <f>HYPERLINK("obsidian://open?vault=o2&amp;file=Paul%20D%20Directory%20Template%20Test.md","Paul D Directory Template Test")</f>
        <v>Paul D Directory Template Test</v>
      </c>
      <c r="L111" s="2"/>
      <c r="M111" s="2" t="s">
        <v>3506</v>
      </c>
      <c r="N111" s="4">
        <v>1</v>
      </c>
      <c r="O111" s="2" t="s">
        <v>3507</v>
      </c>
      <c r="P111" s="11" t="s">
        <v>175</v>
      </c>
      <c r="AH111" s="11">
        <f>SUBTOTAL(3,_xlfn.SINGLE(tbl_code[RowId]))</f>
        <v>1</v>
      </c>
    </row>
    <row r="112" spans="10:34">
      <c r="J112" s="4">
        <v>102</v>
      </c>
      <c r="K112" s="21" t="str">
        <f>HYPERLINK("obsidian://open?vault=o2&amp;file=Paul%20D%20Directory%20Template.md","Paul D Directory Template")</f>
        <v>Paul D Directory Template</v>
      </c>
      <c r="L112" s="2"/>
      <c r="M112" s="2" t="s">
        <v>3501</v>
      </c>
      <c r="N112" s="4">
        <v>2</v>
      </c>
      <c r="O112" s="2" t="s">
        <v>3508</v>
      </c>
      <c r="P112" s="11" t="s">
        <v>175</v>
      </c>
      <c r="Q112" s="2" t="s">
        <v>3502</v>
      </c>
      <c r="R112" s="11" t="s">
        <v>175</v>
      </c>
      <c r="AH112" s="11">
        <f>SUBTOTAL(3,_xlfn.SINGLE(tbl_code[RowId]))</f>
        <v>1</v>
      </c>
    </row>
    <row r="113" spans="10:34">
      <c r="J113" s="4">
        <v>103</v>
      </c>
      <c r="K113" s="21" t="str">
        <f>HYPERLINK("obsidian://open?vault=o2&amp;file=Paul%20D%20Directory%20Template.md","Paul D Directory Template")</f>
        <v>Paul D Directory Template</v>
      </c>
      <c r="L113" s="2"/>
      <c r="M113" s="2" t="s">
        <v>3504</v>
      </c>
      <c r="N113" s="4">
        <v>1</v>
      </c>
      <c r="O113" s="2" t="s">
        <v>3505</v>
      </c>
      <c r="P113" s="11" t="s">
        <v>175</v>
      </c>
      <c r="AH113" s="11">
        <f>SUBTOTAL(3,_xlfn.SINGLE(tbl_code[RowId]))</f>
        <v>1</v>
      </c>
    </row>
    <row r="114" spans="10:34">
      <c r="J114" s="4">
        <v>104</v>
      </c>
      <c r="K114" s="21" t="str">
        <f>HYPERLINK("obsidian://open?vault=o2&amp;file=Paul%20D%20Directory%20Template.md","Paul D Directory Template")</f>
        <v>Paul D Directory Template</v>
      </c>
      <c r="L114" s="2"/>
      <c r="M114" s="2" t="s">
        <v>3506</v>
      </c>
      <c r="N114" s="4">
        <v>1</v>
      </c>
      <c r="O114" s="2" t="s">
        <v>3507</v>
      </c>
      <c r="P114" s="11" t="s">
        <v>175</v>
      </c>
      <c r="AH114" s="11">
        <f>SUBTOTAL(3,_xlfn.SINGLE(tbl_code[RowId]))</f>
        <v>1</v>
      </c>
    </row>
    <row r="115" spans="10:34">
      <c r="J115" s="4">
        <v>105</v>
      </c>
      <c r="K115" s="21" t="str">
        <f>HYPERLINK("obsidian://open?vault=o2&amp;file=YTV%20Template.md","YTV Template")</f>
        <v>YTV Template</v>
      </c>
      <c r="L115" s="2"/>
      <c r="M115" s="2" t="s">
        <v>3506</v>
      </c>
      <c r="N115" s="4">
        <v>1</v>
      </c>
      <c r="O115" s="2" t="s">
        <v>3509</v>
      </c>
      <c r="P115" s="11" t="s">
        <v>175</v>
      </c>
      <c r="AH115" s="11">
        <f>SUBTOTAL(3,_xlfn.SINGLE(tbl_code[RowId]))</f>
        <v>1</v>
      </c>
    </row>
    <row r="116" spans="10:34">
      <c r="J116" s="4">
        <v>106</v>
      </c>
      <c r="K116" s="21" t="str">
        <f>HYPERLINK("obsidian://open?vault=o2&amp;file=Obsidian%20Callouts%20for%20Theme%20Testing.md","Obsidian Callouts for Theme Testing")</f>
        <v>Obsidian Callouts for Theme Testing</v>
      </c>
      <c r="L116" s="2"/>
      <c r="M116" s="2" t="s">
        <v>3510</v>
      </c>
      <c r="N116" s="4">
        <v>1</v>
      </c>
      <c r="O116" s="2" t="s">
        <v>3511</v>
      </c>
      <c r="P116" s="11" t="s">
        <v>175</v>
      </c>
      <c r="AH116" s="11">
        <f>SUBTOTAL(3,_xlfn.SINGLE(tbl_code[RowId]))</f>
        <v>1</v>
      </c>
    </row>
    <row r="117" spans="10:34">
      <c r="J117" s="4">
        <v>107</v>
      </c>
      <c r="K117" s="21" t="str">
        <f>HYPERLINK("obsidian://open?vault=o2&amp;file=Tag%20Usage%20Query1.md","Tag Usage Query1")</f>
        <v>Tag Usage Query1</v>
      </c>
      <c r="L117" s="2" t="s">
        <v>3319</v>
      </c>
      <c r="M117" s="2" t="s">
        <v>3320</v>
      </c>
      <c r="N117" s="4">
        <v>1</v>
      </c>
      <c r="O117" s="2" t="s">
        <v>3512</v>
      </c>
      <c r="P117" s="11" t="s">
        <v>175</v>
      </c>
      <c r="AH117" s="11">
        <f>SUBTOTAL(3,_xlfn.SINGLE(tbl_code[RowId]))</f>
        <v>1</v>
      </c>
    </row>
    <row r="118" spans="10:34">
      <c r="J118" s="4">
        <v>108</v>
      </c>
      <c r="K118" s="21" t="str">
        <f>HYPERLINK("obsidian://open?vault=o2&amp;file=Tag%20Usage%20Query2.md","Tag Usage Query2")</f>
        <v>Tag Usage Query2</v>
      </c>
      <c r="L118" s="2" t="s">
        <v>3319</v>
      </c>
      <c r="M118" s="2" t="s">
        <v>3320</v>
      </c>
      <c r="N118" s="4">
        <v>1</v>
      </c>
      <c r="O118" s="2" t="s">
        <v>3513</v>
      </c>
      <c r="P118" s="11" t="s">
        <v>175</v>
      </c>
      <c r="AH118" s="11">
        <f>SUBTOTAL(3,_xlfn.SINGLE(tbl_code[RowId]))</f>
        <v>1</v>
      </c>
    </row>
    <row r="119" spans="10:34">
      <c r="J119" s="4">
        <v>109</v>
      </c>
      <c r="K119" s="21" t="str">
        <f>HYPERLINK("obsidian://open?vault=o2&amp;file=Tag%20Usage%20Query3.md","Tag Usage Query3")</f>
        <v>Tag Usage Query3</v>
      </c>
      <c r="L119" s="2" t="s">
        <v>3319</v>
      </c>
      <c r="M119" s="2" t="s">
        <v>3320</v>
      </c>
      <c r="N119" s="4">
        <v>1</v>
      </c>
      <c r="O119" s="2" t="s">
        <v>3514</v>
      </c>
      <c r="P119" s="11" t="s">
        <v>175</v>
      </c>
      <c r="AH119" s="11">
        <f>SUBTOTAL(3,_xlfn.SINGLE(tbl_code[RowId]))</f>
        <v>1</v>
      </c>
    </row>
    <row r="120" spans="10:34">
      <c r="J120" s="4">
        <v>110</v>
      </c>
      <c r="K120" s="21" t="str">
        <f>HYPERLINK("obsidian://open?vault=o2&amp;file=Useful%20Regex%20Examples.md","Useful Regex Examples")</f>
        <v>Useful Regex Examples</v>
      </c>
      <c r="L120" s="2"/>
      <c r="M120" s="2" t="s">
        <v>3294</v>
      </c>
      <c r="N120" s="4">
        <v>3</v>
      </c>
      <c r="O120" s="2" t="s">
        <v>3515</v>
      </c>
      <c r="P120" s="11" t="s">
        <v>175</v>
      </c>
      <c r="Q120" s="2" t="s">
        <v>3516</v>
      </c>
      <c r="R120" s="11" t="s">
        <v>175</v>
      </c>
      <c r="S120" s="2" t="s">
        <v>3517</v>
      </c>
      <c r="T120" s="11" t="s">
        <v>175</v>
      </c>
      <c r="AH120" s="11">
        <f>SUBTOTAL(3,_xlfn.SINGLE(tbl_code[RowId]))</f>
        <v>1</v>
      </c>
    </row>
    <row r="121" spans="10:34">
      <c r="J121" s="4">
        <v>111</v>
      </c>
      <c r="K121" s="21" t="str">
        <f>HYPERLINK("obsidian://open?vault=o2&amp;file=personsDB%20Maintenance.md","personsDB Maintenance")</f>
        <v>personsDB Maintenance</v>
      </c>
      <c r="L121" s="2"/>
      <c r="M121" s="2" t="s">
        <v>3294</v>
      </c>
      <c r="N121" s="4">
        <v>3</v>
      </c>
      <c r="O121" s="2" t="s">
        <v>3518</v>
      </c>
      <c r="P121" s="11" t="s">
        <v>175</v>
      </c>
      <c r="Q121" s="2" t="s">
        <v>3519</v>
      </c>
      <c r="R121" s="11" t="s">
        <v>175</v>
      </c>
      <c r="S121" s="2" t="s">
        <v>3520</v>
      </c>
      <c r="T121" s="11" t="s">
        <v>175</v>
      </c>
      <c r="AH121" s="11">
        <f>SUBTOTAL(3,_xlfn.SINGLE(tbl_code[RowId]))</f>
        <v>1</v>
      </c>
    </row>
    <row r="122" spans="10:34">
      <c r="J122" s="4">
        <v>112</v>
      </c>
      <c r="K122" s="21" t="str">
        <f>HYPERLINK("obsidian://open?vault=o2&amp;file=%F0%9F%97%BA%EF%B8%8F%20Personal%20Knowledge%20Management%20MOC.md","🗺️ Personal Knowledge Management MOC")</f>
        <v>🗺️ Personal Knowledge Management MOC</v>
      </c>
      <c r="L122" s="2" t="s">
        <v>3319</v>
      </c>
      <c r="M122" s="2" t="s">
        <v>3320</v>
      </c>
      <c r="N122" s="4">
        <v>3</v>
      </c>
      <c r="O122" s="2" t="s">
        <v>3521</v>
      </c>
      <c r="P122" s="11" t="s">
        <v>175</v>
      </c>
      <c r="Q122" s="2" t="s">
        <v>3522</v>
      </c>
      <c r="R122" s="11" t="s">
        <v>175</v>
      </c>
      <c r="S122" s="2" t="s">
        <v>3523</v>
      </c>
      <c r="T122" s="11" t="s">
        <v>175</v>
      </c>
      <c r="AH122" s="11">
        <f>SUBTOTAL(3,_xlfn.SINGLE(tbl_code[RowId]))</f>
        <v>1</v>
      </c>
    </row>
    <row r="123" spans="10:34">
      <c r="J123" s="4">
        <v>113</v>
      </c>
      <c r="K123" s="21" t="str">
        <f>HYPERLINK("obsidian://open?vault=o2&amp;file=%F0%9F%A6%8B%20Brain2.md","🦋 Brain2")</f>
        <v>🦋 Brain2</v>
      </c>
      <c r="L123" s="2" t="s">
        <v>3291</v>
      </c>
      <c r="M123" s="2" t="s">
        <v>3292</v>
      </c>
      <c r="N123" s="4">
        <v>2</v>
      </c>
      <c r="O123" s="2" t="s">
        <v>3293</v>
      </c>
      <c r="P123" s="11" t="s">
        <v>175</v>
      </c>
      <c r="Q123" s="2" t="s">
        <v>3524</v>
      </c>
      <c r="R123" s="11" t="s">
        <v>175</v>
      </c>
      <c r="AH123" s="11">
        <f>SUBTOTAL(3,_xlfn.SINGLE(tbl_code[RowId]))</f>
        <v>1</v>
      </c>
    </row>
    <row r="124" spans="10:34">
      <c r="J124" s="4">
        <v>114</v>
      </c>
      <c r="K124" s="21" t="str">
        <f>HYPERLINK("obsidian://open?vault=o2&amp;file=%F0%9F%A6%8B%20Brain2.md","🦋 Brain2")</f>
        <v>🦋 Brain2</v>
      </c>
      <c r="L124" s="2" t="s">
        <v>3319</v>
      </c>
      <c r="M124" s="2" t="s">
        <v>3320</v>
      </c>
      <c r="N124" s="4">
        <v>3</v>
      </c>
      <c r="O124" s="2" t="s">
        <v>3525</v>
      </c>
      <c r="P124" s="11" t="s">
        <v>175</v>
      </c>
      <c r="Q124" s="2" t="s">
        <v>3526</v>
      </c>
      <c r="R124" s="11" t="s">
        <v>175</v>
      </c>
      <c r="S124" s="2" t="s">
        <v>3527</v>
      </c>
      <c r="T124" s="11" t="s">
        <v>175</v>
      </c>
      <c r="AH124" s="11">
        <f>SUBTOTAL(3,_xlfn.SINGLE(tbl_code[RowId]))</f>
        <v>1</v>
      </c>
    </row>
    <row r="125" spans="10:34">
      <c r="J125" s="4">
        <v>115</v>
      </c>
      <c r="K125" s="21" t="str">
        <f>HYPERLINK("obsidian://open?vault=o2&amp;file=%F0%9F%A6%8B%20Cheatsheets.md","🦋 Cheatsheets")</f>
        <v>🦋 Cheatsheets</v>
      </c>
      <c r="L125" s="2" t="s">
        <v>3291</v>
      </c>
      <c r="M125" s="2" t="s">
        <v>3292</v>
      </c>
      <c r="N125" s="4">
        <v>2</v>
      </c>
      <c r="O125" s="2" t="s">
        <v>3293</v>
      </c>
      <c r="P125" s="11" t="s">
        <v>175</v>
      </c>
      <c r="Q125" s="2" t="s">
        <v>3438</v>
      </c>
      <c r="R125" s="11" t="s">
        <v>175</v>
      </c>
      <c r="AH125" s="11">
        <f>SUBTOTAL(3,_xlfn.SINGLE(tbl_code[RowId]))</f>
        <v>1</v>
      </c>
    </row>
    <row r="126" spans="10:34">
      <c r="J126" s="4">
        <v>116</v>
      </c>
      <c r="K126" s="21" t="str">
        <f>HYPERLINK("obsidian://open?vault=o2&amp;file=%F0%9F%A6%8B%20Cheatsheets.md","🦋 Cheatsheets")</f>
        <v>🦋 Cheatsheets</v>
      </c>
      <c r="L126" s="2" t="s">
        <v>3319</v>
      </c>
      <c r="M126" s="2" t="s">
        <v>3320</v>
      </c>
      <c r="N126" s="4">
        <v>3</v>
      </c>
      <c r="O126" s="2" t="s">
        <v>3528</v>
      </c>
      <c r="P126" s="11" t="s">
        <v>175</v>
      </c>
      <c r="Q126" s="2" t="s">
        <v>3529</v>
      </c>
      <c r="R126" s="11" t="s">
        <v>175</v>
      </c>
      <c r="S126" s="2" t="s">
        <v>3530</v>
      </c>
      <c r="T126" s="11" t="s">
        <v>175</v>
      </c>
      <c r="AH126" s="11">
        <f>SUBTOTAL(3,_xlfn.SINGLE(tbl_code[RowId]))</f>
        <v>1</v>
      </c>
    </row>
    <row r="127" spans="10:34">
      <c r="J127" s="4">
        <v>117</v>
      </c>
      <c r="K127" s="21" t="str">
        <f>HYPERLINK("obsidian://open?vault=o2&amp;file=Obsidian%20Vault%20Healthcheck%20v.1.md","Obsidian Vault Healthcheck v.1")</f>
        <v>Obsidian Vault Healthcheck v.1</v>
      </c>
      <c r="L127" s="2"/>
      <c r="M127" s="2" t="s">
        <v>3294</v>
      </c>
      <c r="N127" s="4">
        <v>2</v>
      </c>
      <c r="O127" s="2" t="s">
        <v>3531</v>
      </c>
      <c r="P127" s="11" t="s">
        <v>175</v>
      </c>
      <c r="Q127" s="2" t="s">
        <v>3532</v>
      </c>
      <c r="R127" s="11" t="s">
        <v>175</v>
      </c>
      <c r="AH127" s="11">
        <f>SUBTOTAL(3,_xlfn.SINGLE(tbl_code[RowId]))</f>
        <v>1</v>
      </c>
    </row>
    <row r="128" spans="10:34">
      <c r="J128" s="4">
        <v>118</v>
      </c>
      <c r="K128" s="21" t="str">
        <f>HYPERLINK("obsidian://open?vault=o2&amp;file=Terminal%20Color%20Escape%20Sequences.md","Terminal Color Escape Sequences")</f>
        <v>Terminal Color Escape Sequences</v>
      </c>
      <c r="L128" s="2"/>
      <c r="M128" s="2" t="s">
        <v>3294</v>
      </c>
      <c r="N128" s="4">
        <v>1</v>
      </c>
      <c r="O128" s="2" t="s">
        <v>3533</v>
      </c>
      <c r="P128" s="11" t="s">
        <v>175</v>
      </c>
      <c r="AH128" s="11">
        <f>SUBTOTAL(3,_xlfn.SINGLE(tbl_code[RowId]))</f>
        <v>1</v>
      </c>
    </row>
    <row r="129" spans="10:34">
      <c r="J129" s="4">
        <v>119</v>
      </c>
      <c r="K129" s="21" t="str">
        <f>HYPERLINK("obsidian://open?vault=o2&amp;file=%F0%9F%A6%8B%20Coding.md","🦋 Coding")</f>
        <v>🦋 Coding</v>
      </c>
      <c r="L129" s="2" t="s">
        <v>3291</v>
      </c>
      <c r="M129" s="2" t="s">
        <v>3292</v>
      </c>
      <c r="N129" s="4">
        <v>2</v>
      </c>
      <c r="O129" s="2" t="s">
        <v>3293</v>
      </c>
      <c r="P129" s="11" t="s">
        <v>175</v>
      </c>
      <c r="Q129" s="2" t="s">
        <v>3438</v>
      </c>
      <c r="R129" s="11" t="s">
        <v>175</v>
      </c>
      <c r="AH129" s="11">
        <f>SUBTOTAL(3,_xlfn.SINGLE(tbl_code[RowId]))</f>
        <v>1</v>
      </c>
    </row>
    <row r="130" spans="10:34">
      <c r="J130" s="4">
        <v>120</v>
      </c>
      <c r="K130" s="21" t="str">
        <f>HYPERLINK("obsidian://open?vault=o2&amp;file=%F0%9F%A6%8B%20Coding.md","🦋 Coding")</f>
        <v>🦋 Coding</v>
      </c>
      <c r="L130" s="2" t="s">
        <v>3319</v>
      </c>
      <c r="M130" s="2" t="s">
        <v>3320</v>
      </c>
      <c r="N130" s="4">
        <v>3</v>
      </c>
      <c r="O130" s="2" t="s">
        <v>3534</v>
      </c>
      <c r="P130" s="11" t="s">
        <v>175</v>
      </c>
      <c r="Q130" s="2" t="s">
        <v>3535</v>
      </c>
      <c r="R130" s="11" t="s">
        <v>175</v>
      </c>
      <c r="S130" s="2" t="s">
        <v>3536</v>
      </c>
      <c r="T130" s="11" t="s">
        <v>175</v>
      </c>
      <c r="AH130" s="11">
        <f>SUBTOTAL(3,_xlfn.SINGLE(tbl_code[RowId]))</f>
        <v>1</v>
      </c>
    </row>
    <row r="131" spans="10:34">
      <c r="J131" s="4">
        <v>121</v>
      </c>
      <c r="K131" s="21" t="str">
        <f>HYPERLINK("obsidian://open?vault=o2&amp;file=%F0%9F%A6%8B%20Computers.md","🦋 Computers")</f>
        <v>🦋 Computers</v>
      </c>
      <c r="L131" s="2" t="s">
        <v>3291</v>
      </c>
      <c r="M131" s="2" t="s">
        <v>3292</v>
      </c>
      <c r="N131" s="4">
        <v>2</v>
      </c>
      <c r="O131" s="2" t="s">
        <v>3293</v>
      </c>
      <c r="P131" s="11" t="s">
        <v>175</v>
      </c>
      <c r="Q131" s="2" t="s">
        <v>3438</v>
      </c>
      <c r="R131" s="11" t="s">
        <v>175</v>
      </c>
      <c r="AH131" s="11">
        <f>SUBTOTAL(3,_xlfn.SINGLE(tbl_code[RowId]))</f>
        <v>1</v>
      </c>
    </row>
    <row r="132" spans="10:34">
      <c r="J132" s="4">
        <v>122</v>
      </c>
      <c r="K132" s="21" t="str">
        <f>HYPERLINK("obsidian://open?vault=o2&amp;file=%F0%9F%A6%8B%20Computers.md","🦋 Computers")</f>
        <v>🦋 Computers</v>
      </c>
      <c r="L132" s="2" t="s">
        <v>3319</v>
      </c>
      <c r="M132" s="2" t="s">
        <v>3320</v>
      </c>
      <c r="N132" s="4">
        <v>3</v>
      </c>
      <c r="O132" s="2" t="s">
        <v>3537</v>
      </c>
      <c r="P132" s="11" t="s">
        <v>175</v>
      </c>
      <c r="Q132" s="2" t="s">
        <v>3535</v>
      </c>
      <c r="R132" s="11" t="s">
        <v>175</v>
      </c>
      <c r="S132" s="2" t="s">
        <v>3538</v>
      </c>
      <c r="T132" s="11" t="s">
        <v>175</v>
      </c>
      <c r="AH132" s="11">
        <f>SUBTOTAL(3,_xlfn.SINGLE(tbl_code[RowId]))</f>
        <v>1</v>
      </c>
    </row>
    <row r="133" spans="10:34">
      <c r="J133" s="4">
        <v>123</v>
      </c>
      <c r="K133" s="21" t="str">
        <f>HYPERLINK("obsidian://open?vault=o2&amp;file=%F0%9F%A6%8B%20Cooking.md","🦋 Cooking")</f>
        <v>🦋 Cooking</v>
      </c>
      <c r="L133" s="2" t="s">
        <v>3291</v>
      </c>
      <c r="M133" s="2" t="s">
        <v>3292</v>
      </c>
      <c r="N133" s="4">
        <v>2</v>
      </c>
      <c r="O133" s="2" t="s">
        <v>3293</v>
      </c>
      <c r="P133" s="11" t="s">
        <v>175</v>
      </c>
      <c r="Q133" s="2" t="s">
        <v>3438</v>
      </c>
      <c r="R133" s="11" t="s">
        <v>175</v>
      </c>
      <c r="AH133" s="11">
        <f>SUBTOTAL(3,_xlfn.SINGLE(tbl_code[RowId]))</f>
        <v>1</v>
      </c>
    </row>
    <row r="134" spans="10:34">
      <c r="J134" s="4">
        <v>124</v>
      </c>
      <c r="K134" s="21" t="str">
        <f>HYPERLINK("obsidian://open?vault=o2&amp;file=%F0%9F%A6%8B%20Cooking.md","🦋 Cooking")</f>
        <v>🦋 Cooking</v>
      </c>
      <c r="L134" s="2" t="s">
        <v>3319</v>
      </c>
      <c r="M134" s="2" t="s">
        <v>3320</v>
      </c>
      <c r="N134" s="4">
        <v>3</v>
      </c>
      <c r="O134" s="2" t="s">
        <v>3539</v>
      </c>
      <c r="P134" s="11" t="s">
        <v>175</v>
      </c>
      <c r="Q134" s="2" t="s">
        <v>3540</v>
      </c>
      <c r="R134" s="11" t="s">
        <v>175</v>
      </c>
      <c r="S134" s="2" t="s">
        <v>3541</v>
      </c>
      <c r="T134" s="11" t="s">
        <v>175</v>
      </c>
      <c r="AH134" s="11">
        <f>SUBTOTAL(3,_xlfn.SINGLE(tbl_code[RowId]))</f>
        <v>1</v>
      </c>
    </row>
    <row r="135" spans="10:34">
      <c r="J135" s="4">
        <v>125</v>
      </c>
      <c r="K135" s="21" t="str">
        <f>HYPERLINK("obsidian://open?vault=o2&amp;file=%F0%9F%A6%8B%20Design.md","🦋 Design")</f>
        <v>🦋 Design</v>
      </c>
      <c r="L135" s="2" t="s">
        <v>3291</v>
      </c>
      <c r="M135" s="2" t="s">
        <v>3292</v>
      </c>
      <c r="N135" s="4">
        <v>2</v>
      </c>
      <c r="O135" s="2" t="s">
        <v>3293</v>
      </c>
      <c r="P135" s="11" t="s">
        <v>175</v>
      </c>
      <c r="Q135" s="2" t="s">
        <v>3438</v>
      </c>
      <c r="R135" s="11" t="s">
        <v>175</v>
      </c>
      <c r="AH135" s="11">
        <f>SUBTOTAL(3,_xlfn.SINGLE(tbl_code[RowId]))</f>
        <v>1</v>
      </c>
    </row>
    <row r="136" spans="10:34">
      <c r="J136" s="4">
        <v>126</v>
      </c>
      <c r="K136" s="21" t="str">
        <f>HYPERLINK("obsidian://open?vault=o2&amp;file=%F0%9F%A6%8B%20Design.md","🦋 Design")</f>
        <v>🦋 Design</v>
      </c>
      <c r="L136" s="2" t="s">
        <v>3319</v>
      </c>
      <c r="M136" s="2" t="s">
        <v>3320</v>
      </c>
      <c r="N136" s="4">
        <v>3</v>
      </c>
      <c r="O136" s="2" t="s">
        <v>3542</v>
      </c>
      <c r="P136" s="11" t="s">
        <v>175</v>
      </c>
      <c r="Q136" s="2" t="s">
        <v>3543</v>
      </c>
      <c r="R136" s="11" t="s">
        <v>175</v>
      </c>
      <c r="S136" s="2" t="s">
        <v>3544</v>
      </c>
      <c r="T136" s="11" t="s">
        <v>175</v>
      </c>
      <c r="AH136" s="11">
        <f>SUBTOTAL(3,_xlfn.SINGLE(tbl_code[RowId]))</f>
        <v>1</v>
      </c>
    </row>
    <row r="137" spans="10:34">
      <c r="J137" s="4">
        <v>127</v>
      </c>
      <c r="K137" s="21" t="str">
        <f>HYPERLINK("obsidian://open?vault=o2&amp;file=%F0%9F%A6%8B%20Genealogy.md","🦋 Genealogy")</f>
        <v>🦋 Genealogy</v>
      </c>
      <c r="L137" s="2" t="s">
        <v>3291</v>
      </c>
      <c r="M137" s="2" t="s">
        <v>3292</v>
      </c>
      <c r="N137" s="4">
        <v>2</v>
      </c>
      <c r="O137" s="2" t="s">
        <v>3293</v>
      </c>
      <c r="P137" s="11" t="s">
        <v>175</v>
      </c>
      <c r="Q137" s="2" t="s">
        <v>3438</v>
      </c>
      <c r="R137" s="11" t="s">
        <v>175</v>
      </c>
      <c r="AH137" s="11">
        <f>SUBTOTAL(3,_xlfn.SINGLE(tbl_code[RowId]))</f>
        <v>1</v>
      </c>
    </row>
    <row r="138" spans="10:34">
      <c r="J138" s="4">
        <v>128</v>
      </c>
      <c r="K138" s="21" t="str">
        <f>HYPERLINK("obsidian://open?vault=o2&amp;file=%F0%9F%A6%8B%20Genealogy.md","🦋 Genealogy")</f>
        <v>🦋 Genealogy</v>
      </c>
      <c r="L138" s="2" t="s">
        <v>3319</v>
      </c>
      <c r="M138" s="2" t="s">
        <v>3320</v>
      </c>
      <c r="N138" s="4">
        <v>3</v>
      </c>
      <c r="O138" s="2" t="s">
        <v>3545</v>
      </c>
      <c r="P138" s="11" t="s">
        <v>175</v>
      </c>
      <c r="Q138" s="2" t="s">
        <v>3546</v>
      </c>
      <c r="R138" s="11" t="s">
        <v>175</v>
      </c>
      <c r="S138" s="2" t="s">
        <v>3547</v>
      </c>
      <c r="T138" s="11" t="s">
        <v>175</v>
      </c>
      <c r="AH138" s="11">
        <f>SUBTOTAL(3,_xlfn.SINGLE(tbl_code[RowId]))</f>
        <v>1</v>
      </c>
    </row>
    <row r="139" spans="10:34">
      <c r="J139" s="4">
        <v>129</v>
      </c>
      <c r="K139" s="21" t="str">
        <f>HYPERLINK("obsidian://open?vault=o2&amp;file=Kitchen%20Sink.md","Kitchen Sink")</f>
        <v>Kitchen Sink</v>
      </c>
      <c r="L139" s="2" t="s">
        <v>3319</v>
      </c>
      <c r="M139" s="2" t="s">
        <v>3320</v>
      </c>
      <c r="N139" s="4">
        <v>2</v>
      </c>
      <c r="O139" s="2" t="s">
        <v>3548</v>
      </c>
      <c r="P139" s="11" t="s">
        <v>175</v>
      </c>
      <c r="Q139" s="2" t="s">
        <v>3549</v>
      </c>
      <c r="R139" s="11" t="s">
        <v>175</v>
      </c>
      <c r="AH139" s="11">
        <f>SUBTOTAL(3,_xlfn.SINGLE(tbl_code[RowId]))</f>
        <v>1</v>
      </c>
    </row>
    <row r="140" spans="10:34">
      <c r="J140" s="4">
        <v>130</v>
      </c>
      <c r="K140" s="21" t="str">
        <f>HYPERLINK("obsidian://open?vault=o2&amp;file=%F0%9F%A6%8B%20Home.md","🦋 Home")</f>
        <v>🦋 Home</v>
      </c>
      <c r="L140" s="2" t="s">
        <v>3291</v>
      </c>
      <c r="M140" s="2" t="s">
        <v>3292</v>
      </c>
      <c r="N140" s="4">
        <v>2</v>
      </c>
      <c r="O140" s="2" t="s">
        <v>3293</v>
      </c>
      <c r="P140" s="11" t="s">
        <v>175</v>
      </c>
      <c r="Q140" s="2" t="s">
        <v>3438</v>
      </c>
      <c r="R140" s="11" t="s">
        <v>175</v>
      </c>
      <c r="AH140" s="11">
        <f>SUBTOTAL(3,_xlfn.SINGLE(tbl_code[RowId]))</f>
        <v>1</v>
      </c>
    </row>
    <row r="141" spans="10:34">
      <c r="J141" s="4">
        <v>131</v>
      </c>
      <c r="K141" s="21" t="str">
        <f>HYPERLINK("obsidian://open?vault=o2&amp;file=%F0%9F%A6%8B%20Home.md","🦋 Home")</f>
        <v>🦋 Home</v>
      </c>
      <c r="L141" s="2" t="s">
        <v>3319</v>
      </c>
      <c r="M141" s="2" t="s">
        <v>3320</v>
      </c>
      <c r="N141" s="4">
        <v>3</v>
      </c>
      <c r="O141" s="2" t="s">
        <v>3550</v>
      </c>
      <c r="P141" s="11" t="s">
        <v>175</v>
      </c>
      <c r="Q141" s="2" t="s">
        <v>3551</v>
      </c>
      <c r="R141" s="11" t="s">
        <v>175</v>
      </c>
      <c r="S141" s="2" t="s">
        <v>3552</v>
      </c>
      <c r="T141" s="11" t="s">
        <v>175</v>
      </c>
      <c r="AH141" s="11">
        <f>SUBTOTAL(3,_xlfn.SINGLE(tbl_code[RowId]))</f>
        <v>1</v>
      </c>
    </row>
    <row r="142" spans="10:34">
      <c r="J142" s="4">
        <v>132</v>
      </c>
      <c r="K142" s="21" t="str">
        <f>HYPERLINK("obsidian://open?vault=o2&amp;file=%F0%9F%A6%8B%20Media.md","🦋 Media")</f>
        <v>🦋 Media</v>
      </c>
      <c r="L142" s="2" t="s">
        <v>3291</v>
      </c>
      <c r="M142" s="2" t="s">
        <v>3292</v>
      </c>
      <c r="N142" s="4">
        <v>2</v>
      </c>
      <c r="O142" s="2" t="s">
        <v>3293</v>
      </c>
      <c r="P142" s="11" t="s">
        <v>175</v>
      </c>
      <c r="Q142" s="2" t="s">
        <v>3438</v>
      </c>
      <c r="R142" s="11" t="s">
        <v>175</v>
      </c>
      <c r="AH142" s="11">
        <f>SUBTOTAL(3,_xlfn.SINGLE(tbl_code[RowId]))</f>
        <v>1</v>
      </c>
    </row>
    <row r="143" spans="10:34">
      <c r="J143" s="4">
        <v>133</v>
      </c>
      <c r="K143" s="21" t="str">
        <f>HYPERLINK("obsidian://open?vault=o2&amp;file=%F0%9F%A6%8B%20Media.md","🦋 Media")</f>
        <v>🦋 Media</v>
      </c>
      <c r="L143" s="2" t="s">
        <v>3319</v>
      </c>
      <c r="M143" s="2" t="s">
        <v>3320</v>
      </c>
      <c r="N143" s="4">
        <v>3</v>
      </c>
      <c r="O143" s="2" t="s">
        <v>3553</v>
      </c>
      <c r="P143" s="11" t="s">
        <v>175</v>
      </c>
      <c r="Q143" s="2" t="s">
        <v>3554</v>
      </c>
      <c r="R143" s="11" t="s">
        <v>175</v>
      </c>
      <c r="S143" s="2" t="s">
        <v>3555</v>
      </c>
      <c r="T143" s="11" t="s">
        <v>175</v>
      </c>
      <c r="AH143" s="11">
        <f>SUBTOTAL(3,_xlfn.SINGLE(tbl_code[RowId]))</f>
        <v>1</v>
      </c>
    </row>
    <row r="144" spans="10:34">
      <c r="J144" s="4">
        <v>134</v>
      </c>
      <c r="K144" s="21" t="str">
        <f>HYPERLINK("obsidian://open?vault=o2&amp;file=%F0%9F%A6%8B%20Music.md","🦋 Music")</f>
        <v>🦋 Music</v>
      </c>
      <c r="L144" s="2" t="s">
        <v>3291</v>
      </c>
      <c r="M144" s="2" t="s">
        <v>3292</v>
      </c>
      <c r="N144" s="4">
        <v>2</v>
      </c>
      <c r="O144" s="2" t="s">
        <v>3556</v>
      </c>
      <c r="P144" s="11" t="s">
        <v>175</v>
      </c>
      <c r="Q144" s="2" t="s">
        <v>3438</v>
      </c>
      <c r="R144" s="11" t="s">
        <v>175</v>
      </c>
      <c r="AH144" s="11">
        <f>SUBTOTAL(3,_xlfn.SINGLE(tbl_code[RowId]))</f>
        <v>1</v>
      </c>
    </row>
    <row r="145" spans="10:34">
      <c r="J145" s="4">
        <v>135</v>
      </c>
      <c r="K145" s="21" t="str">
        <f>HYPERLINK("obsidian://open?vault=o2&amp;file=%F0%9F%A6%8B%20Music.md","🦋 Music")</f>
        <v>🦋 Music</v>
      </c>
      <c r="L145" s="2" t="s">
        <v>3319</v>
      </c>
      <c r="M145" s="2" t="s">
        <v>3320</v>
      </c>
      <c r="N145" s="4">
        <v>3</v>
      </c>
      <c r="O145" s="2" t="s">
        <v>3557</v>
      </c>
      <c r="P145" s="11" t="s">
        <v>175</v>
      </c>
      <c r="Q145" s="2" t="s">
        <v>3558</v>
      </c>
      <c r="R145" s="11" t="s">
        <v>175</v>
      </c>
      <c r="S145" s="2" t="s">
        <v>3559</v>
      </c>
      <c r="T145" s="11" t="s">
        <v>175</v>
      </c>
      <c r="AH145" s="11">
        <f>SUBTOTAL(3,_xlfn.SINGLE(tbl_code[RowId]))</f>
        <v>1</v>
      </c>
    </row>
    <row r="146" spans="10:34">
      <c r="J146" s="4">
        <v>136</v>
      </c>
      <c r="K146" s="21" t="str">
        <f>HYPERLINK("obsidian://open?vault=o2&amp;file=%F0%9F%A6%8B%20My%20Resources.md","🦋 My Resources")</f>
        <v>🦋 My Resources</v>
      </c>
      <c r="L146" s="2"/>
      <c r="M146" s="2" t="s">
        <v>3294</v>
      </c>
      <c r="N146" s="4">
        <v>1</v>
      </c>
      <c r="O146" s="2" t="s">
        <v>3560</v>
      </c>
      <c r="P146" s="11" t="s">
        <v>175</v>
      </c>
      <c r="AH146" s="11">
        <f>SUBTOTAL(3,_xlfn.SINGLE(tbl_code[RowId]))</f>
        <v>1</v>
      </c>
    </row>
    <row r="147" spans="10:34">
      <c r="J147" s="4">
        <v>137</v>
      </c>
      <c r="K147" s="21" t="str">
        <f>HYPERLINK("obsidian://open?vault=o2&amp;file=%F0%9F%A6%8B%20My%20Resources.md","🦋 My Resources")</f>
        <v>🦋 My Resources</v>
      </c>
      <c r="L147" s="2" t="s">
        <v>3319</v>
      </c>
      <c r="M147" s="2" t="s">
        <v>3320</v>
      </c>
      <c r="N147" s="4">
        <v>1</v>
      </c>
      <c r="O147" s="2" t="s">
        <v>3561</v>
      </c>
      <c r="P147" s="11" t="s">
        <v>175</v>
      </c>
      <c r="AH147" s="11">
        <f>SUBTOTAL(3,_xlfn.SINGLE(tbl_code[RowId]))</f>
        <v>1</v>
      </c>
    </row>
    <row r="148" spans="10:34">
      <c r="J148" s="4">
        <v>138</v>
      </c>
      <c r="K148" s="21" t="str">
        <f>HYPERLINK("obsidian://open?vault=o2&amp;file=%F0%9F%A6%8B%20Travel.md","🦋 Travel")</f>
        <v>🦋 Travel</v>
      </c>
      <c r="L148" s="2" t="s">
        <v>3291</v>
      </c>
      <c r="M148" s="2" t="s">
        <v>3292</v>
      </c>
      <c r="N148" s="4">
        <v>2</v>
      </c>
      <c r="O148" s="2" t="s">
        <v>3293</v>
      </c>
      <c r="P148" s="11" t="s">
        <v>175</v>
      </c>
      <c r="Q148" s="2" t="s">
        <v>3438</v>
      </c>
      <c r="R148" s="11" t="s">
        <v>175</v>
      </c>
      <c r="AH148" s="11">
        <f>SUBTOTAL(3,_xlfn.SINGLE(tbl_code[RowId]))</f>
        <v>1</v>
      </c>
    </row>
    <row r="149" spans="10:34">
      <c r="J149" s="4">
        <v>139</v>
      </c>
      <c r="K149" s="21" t="str">
        <f>HYPERLINK("obsidian://open?vault=o2&amp;file=%F0%9F%A6%8B%20Travel.md","🦋 Travel")</f>
        <v>🦋 Travel</v>
      </c>
      <c r="L149" s="2" t="s">
        <v>3319</v>
      </c>
      <c r="M149" s="2" t="s">
        <v>3320</v>
      </c>
      <c r="N149" s="4">
        <v>3</v>
      </c>
      <c r="O149" s="2" t="s">
        <v>3562</v>
      </c>
      <c r="P149" s="11" t="s">
        <v>175</v>
      </c>
      <c r="Q149" s="2" t="s">
        <v>3563</v>
      </c>
      <c r="R149" s="11" t="s">
        <v>175</v>
      </c>
      <c r="S149" s="2" t="s">
        <v>3564</v>
      </c>
      <c r="T149" s="11" t="s">
        <v>175</v>
      </c>
      <c r="AH149" s="11">
        <f>SUBTOTAL(3,_xlfn.SINGLE(tbl_code[RowId]))</f>
        <v>1</v>
      </c>
    </row>
    <row r="150" spans="10:34">
      <c r="J150" s="4">
        <v>140</v>
      </c>
      <c r="K150" s="21" t="str">
        <f>HYPERLINK("obsidian://open?vault=o2&amp;file=%F0%9F%A6%8B%20Writing.md","🦋 Writing")</f>
        <v>🦋 Writing</v>
      </c>
      <c r="L150" s="2" t="s">
        <v>3291</v>
      </c>
      <c r="M150" s="2" t="s">
        <v>3292</v>
      </c>
      <c r="N150" s="4">
        <v>2</v>
      </c>
      <c r="O150" s="2" t="s">
        <v>3293</v>
      </c>
      <c r="P150" s="11" t="s">
        <v>175</v>
      </c>
      <c r="Q150" s="2" t="s">
        <v>3524</v>
      </c>
      <c r="R150" s="11" t="s">
        <v>175</v>
      </c>
      <c r="AH150" s="11">
        <f>SUBTOTAL(3,_xlfn.SINGLE(tbl_code[RowId]))</f>
        <v>1</v>
      </c>
    </row>
    <row r="151" spans="10:34">
      <c r="J151" s="4">
        <v>141</v>
      </c>
      <c r="K151" s="21" t="str">
        <f>HYPERLINK("obsidian://open?vault=o2&amp;file=%F0%9F%A6%8B%20Writing.md","🦋 Writing")</f>
        <v>🦋 Writing</v>
      </c>
      <c r="L151" s="2" t="s">
        <v>3319</v>
      </c>
      <c r="M151" s="2" t="s">
        <v>3320</v>
      </c>
      <c r="N151" s="4">
        <v>3</v>
      </c>
      <c r="O151" s="2" t="s">
        <v>3565</v>
      </c>
      <c r="P151" s="11" t="s">
        <v>175</v>
      </c>
      <c r="Q151" s="2" t="s">
        <v>3566</v>
      </c>
      <c r="R151" s="11" t="s">
        <v>175</v>
      </c>
      <c r="S151" s="2" t="s">
        <v>3567</v>
      </c>
      <c r="T151" s="11" t="s">
        <v>175</v>
      </c>
      <c r="AH151" s="11">
        <f>SUBTOTAL(3,_xlfn.SINGLE(tbl_code[RowId]))</f>
        <v>1</v>
      </c>
    </row>
    <row r="152" spans="10:34">
      <c r="J152" s="4">
        <v>142</v>
      </c>
      <c r="K152" s="21" t="str">
        <f>HYPERLINK("obsidian://open?vault=o2&amp;file=4-Archives.md","4-Archives")</f>
        <v>4-Archives</v>
      </c>
      <c r="L152" s="2" t="s">
        <v>3288</v>
      </c>
      <c r="M152" s="2" t="s">
        <v>3289</v>
      </c>
      <c r="N152" s="4">
        <v>1</v>
      </c>
      <c r="O152" s="2" t="s">
        <v>3290</v>
      </c>
      <c r="P152" s="11" t="s">
        <v>175</v>
      </c>
      <c r="AH152" s="11">
        <f>SUBTOTAL(3,_xlfn.SINGLE(tbl_code[RowId]))</f>
        <v>1</v>
      </c>
    </row>
    <row r="153" spans="10:34">
      <c r="J153" s="4">
        <v>143</v>
      </c>
      <c r="K153" s="21" t="str">
        <f>HYPERLINK("obsidian://open?vault=o2&amp;file=5-Misc.md","5-Misc")</f>
        <v>5-Misc</v>
      </c>
      <c r="L153" s="2" t="s">
        <v>3288</v>
      </c>
      <c r="M153" s="2" t="s">
        <v>3289</v>
      </c>
      <c r="N153" s="4">
        <v>1</v>
      </c>
      <c r="O153" s="2" t="s">
        <v>3290</v>
      </c>
      <c r="P153" s="11" t="s">
        <v>175</v>
      </c>
      <c r="AH153" s="11">
        <f>SUBTOTAL(3,_xlfn.SINGLE(tbl_code[RowId]))</f>
        <v>1</v>
      </c>
    </row>
    <row r="154" spans="10:34">
      <c r="J154" s="4">
        <v>144</v>
      </c>
      <c r="K154" s="21" t="str">
        <f>HYPERLINK("obsidian://open?vault=o2&amp;file=6-Journal.md","6-Journal")</f>
        <v>6-Journal</v>
      </c>
      <c r="L154" s="2" t="s">
        <v>3288</v>
      </c>
      <c r="M154" s="2" t="s">
        <v>3289</v>
      </c>
      <c r="N154" s="4">
        <v>1</v>
      </c>
      <c r="O154" s="2" t="s">
        <v>3290</v>
      </c>
      <c r="P154" s="11" t="s">
        <v>175</v>
      </c>
      <c r="AH154" s="11">
        <f>SUBTOTAL(3,_xlfn.SINGLE(tbl_code[RowId]))</f>
        <v>1</v>
      </c>
    </row>
    <row r="155" spans="10:34">
      <c r="J155" s="4">
        <v>145</v>
      </c>
      <c r="K155" s="21" t="str">
        <f>HYPERLINK("obsidian://open?vault=o2&amp;file=2022-12-09.md","2022-12-09")</f>
        <v>2022-12-09</v>
      </c>
      <c r="L155" s="2" t="s">
        <v>3319</v>
      </c>
      <c r="M155" s="2" t="s">
        <v>3320</v>
      </c>
      <c r="N155" s="4">
        <v>1</v>
      </c>
      <c r="O155" s="2" t="s">
        <v>3568</v>
      </c>
      <c r="P155" s="11" t="s">
        <v>175</v>
      </c>
      <c r="AH155" s="11">
        <f>SUBTOTAL(3,_xlfn.SINGLE(tbl_code[RowId]))</f>
        <v>1</v>
      </c>
    </row>
    <row r="156" spans="10:34">
      <c r="J156" s="4">
        <v>146</v>
      </c>
      <c r="K156" s="21" t="str">
        <f>HYPERLINK("obsidian://open?vault=o2&amp;file=2022-12-09.md","2022-12-09")</f>
        <v>2022-12-09</v>
      </c>
      <c r="L156" s="2"/>
      <c r="M156" s="2" t="s">
        <v>3569</v>
      </c>
      <c r="N156" s="4">
        <v>1</v>
      </c>
      <c r="O156" s="2" t="s">
        <v>3570</v>
      </c>
      <c r="P156" s="11" t="s">
        <v>175</v>
      </c>
      <c r="AH156" s="11">
        <f>SUBTOTAL(3,_xlfn.SINGLE(tbl_code[RowId]))</f>
        <v>1</v>
      </c>
    </row>
    <row r="157" spans="10:34">
      <c r="J157" s="4">
        <v>147</v>
      </c>
      <c r="K157" s="21" t="str">
        <f>HYPERLINK("obsidian://open?vault=o2&amp;file=2022-12-25.md","2022-12-25")</f>
        <v>2022-12-25</v>
      </c>
      <c r="L157" s="2" t="s">
        <v>3319</v>
      </c>
      <c r="M157" s="2" t="s">
        <v>3320</v>
      </c>
      <c r="N157" s="4">
        <v>1</v>
      </c>
      <c r="O157" s="2" t="s">
        <v>3571</v>
      </c>
      <c r="P157" s="11" t="s">
        <v>175</v>
      </c>
      <c r="AH157" s="11">
        <f>SUBTOTAL(3,_xlfn.SINGLE(tbl_code[RowId]))</f>
        <v>1</v>
      </c>
    </row>
    <row r="158" spans="10:34">
      <c r="J158" s="4">
        <v>148</v>
      </c>
      <c r="K158" s="21" t="str">
        <f>HYPERLINK("obsidian://open?vault=o2&amp;file=2022-12-25.md","2022-12-25")</f>
        <v>2022-12-25</v>
      </c>
      <c r="L158" s="2"/>
      <c r="M158" s="2" t="s">
        <v>3569</v>
      </c>
      <c r="N158" s="4">
        <v>1</v>
      </c>
      <c r="O158" s="2" t="s">
        <v>3572</v>
      </c>
      <c r="P158" s="11" t="s">
        <v>175</v>
      </c>
      <c r="AH158" s="11">
        <f>SUBTOTAL(3,_xlfn.SINGLE(tbl_code[RowId]))</f>
        <v>1</v>
      </c>
    </row>
    <row r="159" spans="10:34">
      <c r="J159" s="4">
        <v>149</v>
      </c>
      <c r="K159" s="21" t="str">
        <f>HYPERLINK("obsidian://open?vault=o2&amp;file=2023-01-16.md","2023-01-16")</f>
        <v>2023-01-16</v>
      </c>
      <c r="L159" s="2" t="s">
        <v>3319</v>
      </c>
      <c r="M159" s="2" t="s">
        <v>3320</v>
      </c>
      <c r="N159" s="4">
        <v>1</v>
      </c>
      <c r="O159" s="2" t="s">
        <v>3573</v>
      </c>
      <c r="P159" s="11" t="s">
        <v>175</v>
      </c>
      <c r="AH159" s="11">
        <f>SUBTOTAL(3,_xlfn.SINGLE(tbl_code[RowId]))</f>
        <v>1</v>
      </c>
    </row>
    <row r="160" spans="10:34">
      <c r="J160" s="4">
        <v>150</v>
      </c>
      <c r="K160" s="21" t="str">
        <f>HYPERLINK("obsidian://open?vault=o2&amp;file=2023-01-16.md","2023-01-16")</f>
        <v>2023-01-16</v>
      </c>
      <c r="L160" s="2"/>
      <c r="M160" s="2" t="s">
        <v>3569</v>
      </c>
      <c r="N160" s="4">
        <v>1</v>
      </c>
      <c r="O160" s="2" t="s">
        <v>3574</v>
      </c>
      <c r="P160" s="11" t="s">
        <v>175</v>
      </c>
      <c r="AH160" s="11">
        <f>SUBTOTAL(3,_xlfn.SINGLE(tbl_code[RowId]))</f>
        <v>1</v>
      </c>
    </row>
    <row r="161" spans="10:34">
      <c r="J161" s="4">
        <v>151</v>
      </c>
      <c r="K161" s="21" t="str">
        <f>HYPERLINK("obsidian://open?vault=o2&amp;file=2023-01-19.md","2023-01-19")</f>
        <v>2023-01-19</v>
      </c>
      <c r="L161" s="2" t="s">
        <v>3319</v>
      </c>
      <c r="M161" s="2" t="s">
        <v>3320</v>
      </c>
      <c r="N161" s="4">
        <v>1</v>
      </c>
      <c r="O161" s="2" t="s">
        <v>3575</v>
      </c>
      <c r="P161" s="11" t="s">
        <v>175</v>
      </c>
      <c r="AH161" s="11">
        <f>SUBTOTAL(3,_xlfn.SINGLE(tbl_code[RowId]))</f>
        <v>1</v>
      </c>
    </row>
    <row r="162" spans="10:34">
      <c r="J162" s="4">
        <v>152</v>
      </c>
      <c r="K162" s="21" t="str">
        <f>HYPERLINK("obsidian://open?vault=o2&amp;file=2023-01-19.md","2023-01-19")</f>
        <v>2023-01-19</v>
      </c>
      <c r="L162" s="2"/>
      <c r="M162" s="2" t="s">
        <v>3569</v>
      </c>
      <c r="N162" s="4">
        <v>1</v>
      </c>
      <c r="O162" s="2" t="s">
        <v>3576</v>
      </c>
      <c r="P162" s="11" t="s">
        <v>175</v>
      </c>
      <c r="AH162" s="11">
        <f>SUBTOTAL(3,_xlfn.SINGLE(tbl_code[RowId]))</f>
        <v>1</v>
      </c>
    </row>
    <row r="163" spans="10:34">
      <c r="J163" s="4">
        <v>153</v>
      </c>
      <c r="K163" s="21" t="str">
        <f>HYPERLINK("obsidian://open?vault=o2&amp;file=2023-01-22.md","2023-01-22")</f>
        <v>2023-01-22</v>
      </c>
      <c r="L163" s="2"/>
      <c r="M163" s="2" t="s">
        <v>3569</v>
      </c>
      <c r="N163" s="4">
        <v>1</v>
      </c>
      <c r="O163" s="2" t="s">
        <v>3577</v>
      </c>
      <c r="P163" s="11" t="s">
        <v>175</v>
      </c>
      <c r="AH163" s="11">
        <f>SUBTOTAL(3,_xlfn.SINGLE(tbl_code[RowId]))</f>
        <v>1</v>
      </c>
    </row>
    <row r="164" spans="10:34">
      <c r="J164" s="4">
        <v>154</v>
      </c>
      <c r="K164" s="21" t="str">
        <f>HYPERLINK("obsidian://open?vault=o2&amp;file=2023-01-24.md","2023-01-24")</f>
        <v>2023-01-24</v>
      </c>
      <c r="L164" s="2" t="s">
        <v>3319</v>
      </c>
      <c r="M164" s="2" t="s">
        <v>3320</v>
      </c>
      <c r="N164" s="4">
        <v>1</v>
      </c>
      <c r="O164" s="2" t="s">
        <v>3578</v>
      </c>
      <c r="P164" s="11" t="s">
        <v>175</v>
      </c>
      <c r="AH164" s="11">
        <f>SUBTOTAL(3,_xlfn.SINGLE(tbl_code[RowId]))</f>
        <v>1</v>
      </c>
    </row>
    <row r="165" spans="10:34">
      <c r="J165" s="4">
        <v>155</v>
      </c>
      <c r="K165" s="21" t="str">
        <f>HYPERLINK("obsidian://open?vault=o2&amp;file=2023-01-24.md","2023-01-24")</f>
        <v>2023-01-24</v>
      </c>
      <c r="L165" s="2"/>
      <c r="M165" s="2" t="s">
        <v>3569</v>
      </c>
      <c r="N165" s="4">
        <v>1</v>
      </c>
      <c r="O165" s="2" t="s">
        <v>3579</v>
      </c>
      <c r="P165" s="11" t="s">
        <v>175</v>
      </c>
      <c r="AH165" s="11">
        <f>SUBTOTAL(3,_xlfn.SINGLE(tbl_code[RowId]))</f>
        <v>1</v>
      </c>
    </row>
    <row r="166" spans="10:34">
      <c r="J166" s="4">
        <v>156</v>
      </c>
      <c r="K166" s="21" t="str">
        <f>HYPERLINK("obsidian://open?vault=o2&amp;file=2023-01-25.md","2023-01-25")</f>
        <v>2023-01-25</v>
      </c>
      <c r="L166" s="2"/>
      <c r="M166" s="2" t="s">
        <v>3569</v>
      </c>
      <c r="N166" s="4">
        <v>1</v>
      </c>
      <c r="O166" s="2" t="s">
        <v>3580</v>
      </c>
      <c r="P166" s="11" t="s">
        <v>175</v>
      </c>
      <c r="AH166" s="11">
        <f>SUBTOTAL(3,_xlfn.SINGLE(tbl_code[RowId]))</f>
        <v>1</v>
      </c>
    </row>
    <row r="167" spans="10:34">
      <c r="J167" s="4">
        <v>157</v>
      </c>
      <c r="K167" s="21" t="str">
        <f>HYPERLINK("obsidian://open?vault=o2&amp;file=2023-01-27.md","2023-01-27")</f>
        <v>2023-01-27</v>
      </c>
      <c r="L167" s="2"/>
      <c r="M167" s="2" t="s">
        <v>3569</v>
      </c>
      <c r="N167" s="4">
        <v>1</v>
      </c>
      <c r="O167" s="2" t="s">
        <v>3581</v>
      </c>
      <c r="P167" s="11" t="s">
        <v>175</v>
      </c>
      <c r="AH167" s="11">
        <f>SUBTOTAL(3,_xlfn.SINGLE(tbl_code[RowId]))</f>
        <v>1</v>
      </c>
    </row>
    <row r="168" spans="10:34">
      <c r="J168" s="4">
        <v>158</v>
      </c>
      <c r="K168" s="21" t="str">
        <f>HYPERLINK("obsidian://open?vault=o2&amp;file=2023-01-29.md","2023-01-29")</f>
        <v>2023-01-29</v>
      </c>
      <c r="L168" s="2"/>
      <c r="M168" s="2" t="s">
        <v>3569</v>
      </c>
      <c r="N168" s="4">
        <v>1</v>
      </c>
      <c r="O168" s="2" t="s">
        <v>3582</v>
      </c>
      <c r="P168" s="11" t="s">
        <v>175</v>
      </c>
      <c r="AH168" s="11">
        <f>SUBTOTAL(3,_xlfn.SINGLE(tbl_code[RowId]))</f>
        <v>1</v>
      </c>
    </row>
    <row r="169" spans="10:34">
      <c r="J169" s="4">
        <v>159</v>
      </c>
      <c r="K169" s="21" t="str">
        <f>HYPERLINK("obsidian://open?vault=o2&amp;file=2023-02-03.md","2023-02-03")</f>
        <v>2023-02-03</v>
      </c>
      <c r="L169" s="2"/>
      <c r="M169" s="2" t="s">
        <v>3569</v>
      </c>
      <c r="N169" s="4">
        <v>1</v>
      </c>
      <c r="O169" s="2" t="s">
        <v>3583</v>
      </c>
      <c r="P169" s="11" t="s">
        <v>175</v>
      </c>
      <c r="AH169" s="11">
        <f>SUBTOTAL(3,_xlfn.SINGLE(tbl_code[RowId]))</f>
        <v>1</v>
      </c>
    </row>
    <row r="170" spans="10:34">
      <c r="J170" s="4">
        <v>160</v>
      </c>
      <c r="K170" s="21" t="str">
        <f>HYPERLINK("obsidian://open?vault=o2&amp;file=2023-02-04.md","2023-02-04")</f>
        <v>2023-02-04</v>
      </c>
      <c r="L170" s="2"/>
      <c r="M170" s="2" t="s">
        <v>3569</v>
      </c>
      <c r="N170" s="4">
        <v>1</v>
      </c>
      <c r="O170" s="2" t="s">
        <v>3584</v>
      </c>
      <c r="P170" s="11" t="s">
        <v>175</v>
      </c>
      <c r="AH170" s="11">
        <f>SUBTOTAL(3,_xlfn.SINGLE(tbl_code[RowId]))</f>
        <v>1</v>
      </c>
    </row>
    <row r="171" spans="10:34">
      <c r="J171" s="4">
        <v>161</v>
      </c>
      <c r="K171" s="21" t="str">
        <f>HYPERLINK("obsidian://open?vault=o2&amp;file=2023-02-08.md","2023-02-08")</f>
        <v>2023-02-08</v>
      </c>
      <c r="L171" s="2"/>
      <c r="M171" s="2" t="s">
        <v>3569</v>
      </c>
      <c r="N171" s="4">
        <v>1</v>
      </c>
      <c r="O171" s="2" t="s">
        <v>3585</v>
      </c>
      <c r="P171" s="11" t="s">
        <v>175</v>
      </c>
      <c r="AH171" s="11">
        <f>SUBTOTAL(3,_xlfn.SINGLE(tbl_code[RowId]))</f>
        <v>1</v>
      </c>
    </row>
    <row r="172" spans="10:34">
      <c r="J172" s="4">
        <v>162</v>
      </c>
      <c r="K172" s="21" t="str">
        <f>HYPERLINK("obsidian://open?vault=o2&amp;file=2023-02-09.md","2023-02-09")</f>
        <v>2023-02-09</v>
      </c>
      <c r="L172" s="2"/>
      <c r="M172" s="2" t="s">
        <v>3569</v>
      </c>
      <c r="N172" s="4">
        <v>1</v>
      </c>
      <c r="O172" s="2" t="s">
        <v>3586</v>
      </c>
      <c r="P172" s="11" t="s">
        <v>175</v>
      </c>
      <c r="AH172" s="11">
        <f>SUBTOTAL(3,_xlfn.SINGLE(tbl_code[RowId]))</f>
        <v>1</v>
      </c>
    </row>
    <row r="173" spans="10:34">
      <c r="J173" s="4">
        <v>163</v>
      </c>
      <c r="K173" s="21" t="str">
        <f>HYPERLINK("obsidian://open?vault=o2&amp;file=2023-02-10.md","2023-02-10")</f>
        <v>2023-02-10</v>
      </c>
      <c r="L173" s="2" t="s">
        <v>3319</v>
      </c>
      <c r="M173" s="2" t="s">
        <v>3320</v>
      </c>
      <c r="N173" s="4">
        <v>1</v>
      </c>
      <c r="O173" s="2" t="s">
        <v>3587</v>
      </c>
      <c r="P173" s="11" t="s">
        <v>175</v>
      </c>
      <c r="AH173" s="11">
        <f>SUBTOTAL(3,_xlfn.SINGLE(tbl_code[RowId]))</f>
        <v>1</v>
      </c>
    </row>
    <row r="174" spans="10:34">
      <c r="J174" s="4">
        <v>164</v>
      </c>
      <c r="K174" s="21" t="str">
        <f>HYPERLINK("obsidian://open?vault=o2&amp;file=2023-02-10.md","2023-02-10")</f>
        <v>2023-02-10</v>
      </c>
      <c r="L174" s="2"/>
      <c r="M174" s="2" t="s">
        <v>3569</v>
      </c>
      <c r="N174" s="4">
        <v>1</v>
      </c>
      <c r="O174" s="2" t="s">
        <v>3588</v>
      </c>
      <c r="P174" s="11" t="s">
        <v>175</v>
      </c>
      <c r="AH174" s="11">
        <f>SUBTOTAL(3,_xlfn.SINGLE(tbl_code[RowId]))</f>
        <v>1</v>
      </c>
    </row>
    <row r="175" spans="10:34">
      <c r="J175" s="4">
        <v>165</v>
      </c>
      <c r="K175" s="21" t="str">
        <f>HYPERLINK("obsidian://open?vault=o2&amp;file=2023-02-11.md","2023-02-11")</f>
        <v>2023-02-11</v>
      </c>
      <c r="L175" s="2"/>
      <c r="M175" s="2" t="s">
        <v>3569</v>
      </c>
      <c r="N175" s="4">
        <v>1</v>
      </c>
      <c r="O175" s="2" t="s">
        <v>3589</v>
      </c>
      <c r="P175" s="11" t="s">
        <v>175</v>
      </c>
      <c r="AH175" s="11">
        <f>SUBTOTAL(3,_xlfn.SINGLE(tbl_code[RowId]))</f>
        <v>1</v>
      </c>
    </row>
    <row r="176" spans="10:34">
      <c r="J176" s="4">
        <v>166</v>
      </c>
      <c r="K176" s="21" t="str">
        <f>HYPERLINK("obsidian://open?vault=o2&amp;file=2023-02-16.md","2023-02-16")</f>
        <v>2023-02-16</v>
      </c>
      <c r="L176" s="2" t="s">
        <v>3319</v>
      </c>
      <c r="M176" s="2" t="s">
        <v>3320</v>
      </c>
      <c r="N176" s="4">
        <v>1</v>
      </c>
      <c r="O176" s="2" t="s">
        <v>3568</v>
      </c>
      <c r="P176" s="11" t="s">
        <v>175</v>
      </c>
      <c r="AH176" s="11">
        <f>SUBTOTAL(3,_xlfn.SINGLE(tbl_code[RowId]))</f>
        <v>1</v>
      </c>
    </row>
    <row r="177" spans="10:34">
      <c r="J177" s="4">
        <v>167</v>
      </c>
      <c r="K177" s="21" t="str">
        <f>HYPERLINK("obsidian://open?vault=o2&amp;file=2023-02-18.md","2023-02-18")</f>
        <v>2023-02-18</v>
      </c>
      <c r="L177" s="2" t="s">
        <v>3319</v>
      </c>
      <c r="M177" s="2" t="s">
        <v>3320</v>
      </c>
      <c r="N177" s="4">
        <v>1</v>
      </c>
      <c r="O177" s="2" t="s">
        <v>3549</v>
      </c>
      <c r="P177" s="11" t="s">
        <v>175</v>
      </c>
      <c r="AH177" s="11">
        <f>SUBTOTAL(3,_xlfn.SINGLE(tbl_code[RowId]))</f>
        <v>1</v>
      </c>
    </row>
    <row r="178" spans="10:34">
      <c r="J178" s="4">
        <v>168</v>
      </c>
      <c r="K178" s="21" t="str">
        <f>HYPERLINK("obsidian://open?vault=o2&amp;file=2023-02-21.md","2023-02-21")</f>
        <v>2023-02-21</v>
      </c>
      <c r="L178" s="2" t="s">
        <v>3319</v>
      </c>
      <c r="M178" s="2" t="s">
        <v>3320</v>
      </c>
      <c r="N178" s="4">
        <v>2</v>
      </c>
      <c r="O178" s="2" t="s">
        <v>3548</v>
      </c>
      <c r="P178" s="11" t="s">
        <v>175</v>
      </c>
      <c r="Q178" s="2" t="s">
        <v>3549</v>
      </c>
      <c r="R178" s="11" t="s">
        <v>175</v>
      </c>
      <c r="AH178" s="11">
        <f>SUBTOTAL(3,_xlfn.SINGLE(tbl_code[RowId]))</f>
        <v>1</v>
      </c>
    </row>
    <row r="179" spans="10:34">
      <c r="J179" s="4">
        <v>169</v>
      </c>
      <c r="K179" s="21" t="str">
        <f>HYPERLINK("obsidian://open?vault=o2&amp;file=2023-02-23.md","2023-02-23")</f>
        <v>2023-02-23</v>
      </c>
      <c r="L179" s="2" t="s">
        <v>3319</v>
      </c>
      <c r="M179" s="2" t="s">
        <v>3320</v>
      </c>
      <c r="N179" s="4">
        <v>2</v>
      </c>
      <c r="O179" s="2" t="s">
        <v>3548</v>
      </c>
      <c r="P179" s="11" t="s">
        <v>175</v>
      </c>
      <c r="Q179" s="2" t="s">
        <v>3549</v>
      </c>
      <c r="R179" s="11" t="s">
        <v>175</v>
      </c>
      <c r="AH179" s="11">
        <f>SUBTOTAL(3,_xlfn.SINGLE(tbl_code[RowId]))</f>
        <v>1</v>
      </c>
    </row>
    <row r="180" spans="10:34">
      <c r="J180" s="4">
        <v>170</v>
      </c>
      <c r="K180" s="21" t="str">
        <f>HYPERLINK("obsidian://open?vault=o2&amp;file=2023-02-24.md","2023-02-24")</f>
        <v>2023-02-24</v>
      </c>
      <c r="L180" s="2" t="s">
        <v>3319</v>
      </c>
      <c r="M180" s="2" t="s">
        <v>3320</v>
      </c>
      <c r="N180" s="4">
        <v>2</v>
      </c>
      <c r="O180" s="2" t="s">
        <v>3548</v>
      </c>
      <c r="P180" s="11" t="s">
        <v>175</v>
      </c>
      <c r="Q180" s="2" t="s">
        <v>3549</v>
      </c>
      <c r="R180" s="11" t="s">
        <v>175</v>
      </c>
      <c r="AH180" s="11">
        <f>SUBTOTAL(3,_xlfn.SINGLE(tbl_code[RowId]))</f>
        <v>1</v>
      </c>
    </row>
    <row r="181" spans="10:34">
      <c r="J181" s="4">
        <v>171</v>
      </c>
      <c r="K181" s="21" t="str">
        <f>HYPERLINK("obsidian://open?vault=o2&amp;file=2023-02-27.md","2023-02-27")</f>
        <v>2023-02-27</v>
      </c>
      <c r="L181" s="2" t="s">
        <v>3319</v>
      </c>
      <c r="M181" s="2" t="s">
        <v>3320</v>
      </c>
      <c r="N181" s="4">
        <v>2</v>
      </c>
      <c r="O181" s="2" t="s">
        <v>3548</v>
      </c>
      <c r="P181" s="11" t="s">
        <v>175</v>
      </c>
      <c r="Q181" s="2" t="s">
        <v>3549</v>
      </c>
      <c r="R181" s="11" t="s">
        <v>175</v>
      </c>
      <c r="AH181" s="11">
        <f>SUBTOTAL(3,_xlfn.SINGLE(tbl_code[RowId]))</f>
        <v>1</v>
      </c>
    </row>
    <row r="182" spans="10:34">
      <c r="J182" s="4">
        <v>172</v>
      </c>
      <c r="K182" s="21" t="str">
        <f>HYPERLINK("obsidian://open?vault=o2&amp;file=2023-03-07.md","2023-03-07")</f>
        <v>2023-03-07</v>
      </c>
      <c r="L182" s="2" t="s">
        <v>3319</v>
      </c>
      <c r="M182" s="2" t="s">
        <v>3320</v>
      </c>
      <c r="N182" s="4">
        <v>2</v>
      </c>
      <c r="O182" s="2" t="s">
        <v>3548</v>
      </c>
      <c r="P182" s="11" t="s">
        <v>175</v>
      </c>
      <c r="Q182" s="2" t="s">
        <v>3549</v>
      </c>
      <c r="R182" s="11" t="s">
        <v>175</v>
      </c>
      <c r="AH182" s="11">
        <f>SUBTOTAL(3,_xlfn.SINGLE(tbl_code[RowId]))</f>
        <v>1</v>
      </c>
    </row>
    <row r="183" spans="10:34">
      <c r="J183" s="4">
        <v>173</v>
      </c>
      <c r="K183" s="21" t="str">
        <f>HYPERLINK("obsidian://open?vault=o2&amp;file=2023-03-10.md","2023-03-10")</f>
        <v>2023-03-10</v>
      </c>
      <c r="L183" s="2" t="s">
        <v>3319</v>
      </c>
      <c r="M183" s="2" t="s">
        <v>3320</v>
      </c>
      <c r="N183" s="4">
        <v>2</v>
      </c>
      <c r="O183" s="2" t="s">
        <v>3548</v>
      </c>
      <c r="P183" s="11" t="s">
        <v>175</v>
      </c>
      <c r="Q183" s="2" t="s">
        <v>3549</v>
      </c>
      <c r="R183" s="11" t="s">
        <v>175</v>
      </c>
      <c r="AH183" s="11">
        <f>SUBTOTAL(3,_xlfn.SINGLE(tbl_code[RowId]))</f>
        <v>1</v>
      </c>
    </row>
    <row r="184" spans="10:34">
      <c r="J184" s="4">
        <v>174</v>
      </c>
      <c r="K184" s="21" t="str">
        <f>HYPERLINK("obsidian://open?vault=o2&amp;file=2023-04-02.md","2023-04-02")</f>
        <v>2023-04-02</v>
      </c>
      <c r="L184" s="2" t="s">
        <v>3319</v>
      </c>
      <c r="M184" s="2" t="s">
        <v>3320</v>
      </c>
      <c r="N184" s="4">
        <v>2</v>
      </c>
      <c r="O184" s="2" t="s">
        <v>3548</v>
      </c>
      <c r="P184" s="11" t="s">
        <v>175</v>
      </c>
      <c r="Q184" s="2" t="s">
        <v>3549</v>
      </c>
      <c r="R184" s="11" t="s">
        <v>175</v>
      </c>
      <c r="AH184" s="11">
        <f>SUBTOTAL(3,_xlfn.SINGLE(tbl_code[RowId]))</f>
        <v>1</v>
      </c>
    </row>
    <row r="185" spans="10:34">
      <c r="J185" s="4">
        <v>175</v>
      </c>
      <c r="K185" s="21" t="str">
        <f>HYPERLINK("obsidian://open?vault=o2&amp;file=2023-04-28.md","2023-04-28")</f>
        <v>2023-04-28</v>
      </c>
      <c r="L185" s="2" t="s">
        <v>3319</v>
      </c>
      <c r="M185" s="2" t="s">
        <v>3320</v>
      </c>
      <c r="N185" s="4">
        <v>1</v>
      </c>
      <c r="O185" s="2" t="s">
        <v>3549</v>
      </c>
      <c r="P185" s="11" t="s">
        <v>175</v>
      </c>
      <c r="AH185" s="11">
        <f>SUBTOTAL(3,_xlfn.SINGLE(tbl_code[RowId]))</f>
        <v>1</v>
      </c>
    </row>
    <row r="186" spans="10:34">
      <c r="J186" s="4">
        <v>176</v>
      </c>
      <c r="K186" s="21" t="str">
        <f>HYPERLINK("obsidian://open?vault=o2&amp;file=2023-07-07.md","2023-07-07")</f>
        <v>2023-07-07</v>
      </c>
      <c r="L186" s="2" t="s">
        <v>3319</v>
      </c>
      <c r="M186" s="2" t="s">
        <v>3320</v>
      </c>
      <c r="N186" s="4">
        <v>2</v>
      </c>
      <c r="O186" s="2" t="s">
        <v>3548</v>
      </c>
      <c r="P186" s="11" t="s">
        <v>175</v>
      </c>
      <c r="Q186" s="2" t="s">
        <v>3549</v>
      </c>
      <c r="R186" s="11" t="s">
        <v>175</v>
      </c>
      <c r="AH186" s="11">
        <f>SUBTOTAL(3,_xlfn.SINGLE(tbl_code[RowId]))</f>
        <v>1</v>
      </c>
    </row>
    <row r="187" spans="10:34">
      <c r="J187" s="4">
        <v>177</v>
      </c>
      <c r="K187" s="21" t="str">
        <f>HYPERLINK("obsidian://open?vault=o2&amp;file=2023-08-14.md","2023-08-14")</f>
        <v>2023-08-14</v>
      </c>
      <c r="L187" s="2" t="s">
        <v>3319</v>
      </c>
      <c r="M187" s="2" t="s">
        <v>3320</v>
      </c>
      <c r="N187" s="4">
        <v>2</v>
      </c>
      <c r="O187" s="2" t="s">
        <v>3548</v>
      </c>
      <c r="P187" s="11" t="s">
        <v>175</v>
      </c>
      <c r="Q187" s="2" t="s">
        <v>3549</v>
      </c>
      <c r="R187" s="11" t="s">
        <v>175</v>
      </c>
      <c r="AH187" s="11">
        <f>SUBTOTAL(3,_xlfn.SINGLE(tbl_code[RowId]))</f>
        <v>1</v>
      </c>
    </row>
    <row r="188" spans="10:34">
      <c r="J188" s="4">
        <v>178</v>
      </c>
      <c r="K188" s="21" t="str">
        <f>HYPERLINK("obsidian://open?vault=o2&amp;file=2023-09-01.md","2023-09-01")</f>
        <v>2023-09-01</v>
      </c>
      <c r="L188" s="2" t="s">
        <v>3319</v>
      </c>
      <c r="M188" s="2" t="s">
        <v>3320</v>
      </c>
      <c r="N188" s="4">
        <v>2</v>
      </c>
      <c r="O188" s="2" t="s">
        <v>3548</v>
      </c>
      <c r="P188" s="11" t="s">
        <v>175</v>
      </c>
      <c r="Q188" s="2" t="s">
        <v>3549</v>
      </c>
      <c r="R188" s="11" t="s">
        <v>175</v>
      </c>
      <c r="AH188" s="11">
        <f>SUBTOTAL(3,_xlfn.SINGLE(tbl_code[RowId]))</f>
        <v>1</v>
      </c>
    </row>
    <row r="189" spans="10:34">
      <c r="J189" s="4">
        <v>179</v>
      </c>
      <c r="K189" s="21" t="str">
        <f>HYPERLINK("obsidian://open?vault=o2&amp;file=2023-09-07.md","2023-09-07")</f>
        <v>2023-09-07</v>
      </c>
      <c r="L189" s="2" t="s">
        <v>3319</v>
      </c>
      <c r="M189" s="2" t="s">
        <v>3320</v>
      </c>
      <c r="N189" s="4">
        <v>2</v>
      </c>
      <c r="O189" s="2" t="s">
        <v>3548</v>
      </c>
      <c r="P189" s="11" t="s">
        <v>175</v>
      </c>
      <c r="Q189" s="2" t="s">
        <v>3549</v>
      </c>
      <c r="R189" s="11" t="s">
        <v>175</v>
      </c>
      <c r="AH189" s="11">
        <f>SUBTOTAL(3,_xlfn.SINGLE(tbl_code[RowId]))</f>
        <v>1</v>
      </c>
    </row>
    <row r="190" spans="10:34">
      <c r="J190" s="4">
        <v>180</v>
      </c>
      <c r="K190" s="21" t="str">
        <f>HYPERLINK("obsidian://open?vault=o2&amp;file=2023-09-11.md","2023-09-11")</f>
        <v>2023-09-11</v>
      </c>
      <c r="L190" s="2" t="s">
        <v>3319</v>
      </c>
      <c r="M190" s="2" t="s">
        <v>3320</v>
      </c>
      <c r="N190" s="4">
        <v>2</v>
      </c>
      <c r="O190" s="2" t="s">
        <v>3548</v>
      </c>
      <c r="P190" s="11" t="s">
        <v>175</v>
      </c>
      <c r="Q190" s="2" t="s">
        <v>3549</v>
      </c>
      <c r="R190" s="11" t="s">
        <v>175</v>
      </c>
      <c r="AH190" s="11">
        <f>SUBTOTAL(3,_xlfn.SINGLE(tbl_code[RowId]))</f>
        <v>1</v>
      </c>
    </row>
    <row r="191" spans="10:34">
      <c r="J191" s="4">
        <v>181</v>
      </c>
      <c r="K191" s="21" t="str">
        <f>HYPERLINK("obsidian://open?vault=o2&amp;file=2023-09-14.md","2023-09-14")</f>
        <v>2023-09-14</v>
      </c>
      <c r="L191" s="2" t="s">
        <v>3319</v>
      </c>
      <c r="M191" s="2" t="s">
        <v>3320</v>
      </c>
      <c r="N191" s="4">
        <v>2</v>
      </c>
      <c r="O191" s="2" t="s">
        <v>3548</v>
      </c>
      <c r="P191" s="11" t="s">
        <v>175</v>
      </c>
      <c r="Q191" s="2" t="s">
        <v>3549</v>
      </c>
      <c r="R191" s="11" t="s">
        <v>175</v>
      </c>
      <c r="AH191" s="11">
        <f>SUBTOTAL(3,_xlfn.SINGLE(tbl_code[RowId]))</f>
        <v>1</v>
      </c>
    </row>
    <row r="192" spans="10:34">
      <c r="J192" s="4">
        <v>182</v>
      </c>
      <c r="K192" s="21" t="str">
        <f>HYPERLINK("obsidian://open?vault=o2&amp;file=2023-09-15.md","2023-09-15")</f>
        <v>2023-09-15</v>
      </c>
      <c r="L192" s="2" t="s">
        <v>3319</v>
      </c>
      <c r="M192" s="2" t="s">
        <v>3320</v>
      </c>
      <c r="N192" s="4">
        <v>2</v>
      </c>
      <c r="O192" s="2" t="s">
        <v>3548</v>
      </c>
      <c r="P192" s="11" t="s">
        <v>175</v>
      </c>
      <c r="Q192" s="2" t="s">
        <v>3549</v>
      </c>
      <c r="R192" s="11" t="s">
        <v>175</v>
      </c>
      <c r="AH192" s="11">
        <f>SUBTOTAL(3,_xlfn.SINGLE(tbl_code[RowId]))</f>
        <v>1</v>
      </c>
    </row>
    <row r="193" spans="10:34">
      <c r="J193" s="4">
        <v>183</v>
      </c>
      <c r="K193" s="21" t="str">
        <f>HYPERLINK("obsidian://open?vault=o2&amp;file=2023-09-16.md","2023-09-16")</f>
        <v>2023-09-16</v>
      </c>
      <c r="L193" s="2" t="s">
        <v>3319</v>
      </c>
      <c r="M193" s="2" t="s">
        <v>3320</v>
      </c>
      <c r="N193" s="4">
        <v>2</v>
      </c>
      <c r="O193" s="2" t="s">
        <v>3548</v>
      </c>
      <c r="P193" s="11" t="s">
        <v>175</v>
      </c>
      <c r="Q193" s="2" t="s">
        <v>3549</v>
      </c>
      <c r="R193" s="11" t="s">
        <v>175</v>
      </c>
      <c r="AH193" s="11">
        <f>SUBTOTAL(3,_xlfn.SINGLE(tbl_code[RowId]))</f>
        <v>1</v>
      </c>
    </row>
    <row r="194" spans="10:34">
      <c r="J194" s="4">
        <v>184</v>
      </c>
      <c r="K194" s="21" t="str">
        <f>HYPERLINK("obsidian://open?vault=o2&amp;file=2023-09-17.md","2023-09-17")</f>
        <v>2023-09-17</v>
      </c>
      <c r="L194" s="2" t="s">
        <v>3319</v>
      </c>
      <c r="M194" s="2" t="s">
        <v>3320</v>
      </c>
      <c r="N194" s="4">
        <v>2</v>
      </c>
      <c r="O194" s="2" t="s">
        <v>3548</v>
      </c>
      <c r="P194" s="11" t="s">
        <v>175</v>
      </c>
      <c r="Q194" s="2" t="s">
        <v>3549</v>
      </c>
      <c r="R194" s="11" t="s">
        <v>175</v>
      </c>
      <c r="AH194" s="11">
        <f>SUBTOTAL(3,_xlfn.SINGLE(tbl_code[RowId]))</f>
        <v>1</v>
      </c>
    </row>
    <row r="195" spans="10:34">
      <c r="J195" s="4">
        <v>185</v>
      </c>
      <c r="K195" s="21" t="str">
        <f>HYPERLINK("obsidian://open?vault=o2&amp;file=2023-09-18.md","2023-09-18")</f>
        <v>2023-09-18</v>
      </c>
      <c r="L195" s="2" t="s">
        <v>3319</v>
      </c>
      <c r="M195" s="2" t="s">
        <v>3320</v>
      </c>
      <c r="N195" s="4">
        <v>2</v>
      </c>
      <c r="O195" s="2" t="s">
        <v>3548</v>
      </c>
      <c r="P195" s="11" t="s">
        <v>175</v>
      </c>
      <c r="Q195" s="2" t="s">
        <v>3549</v>
      </c>
      <c r="R195" s="11" t="s">
        <v>175</v>
      </c>
      <c r="AH195" s="11">
        <f>SUBTOTAL(3,_xlfn.SINGLE(tbl_code[RowId]))</f>
        <v>1</v>
      </c>
    </row>
    <row r="196" spans="10:34">
      <c r="J196" s="4">
        <v>186</v>
      </c>
      <c r="K196" s="21" t="str">
        <f>HYPERLINK("obsidian://open?vault=o2&amp;file=2023-09-18.md","2023-09-18")</f>
        <v>2023-09-18</v>
      </c>
      <c r="L196" s="2"/>
      <c r="M196" s="2" t="s">
        <v>3569</v>
      </c>
      <c r="N196" s="4">
        <v>1</v>
      </c>
      <c r="O196" s="2" t="s">
        <v>3590</v>
      </c>
      <c r="P196" s="11" t="s">
        <v>175</v>
      </c>
      <c r="AH196" s="11">
        <f>SUBTOTAL(3,_xlfn.SINGLE(tbl_code[RowId]))</f>
        <v>1</v>
      </c>
    </row>
    <row r="197" spans="10:34">
      <c r="J197" s="4">
        <v>187</v>
      </c>
      <c r="K197" s="21" t="str">
        <f>HYPERLINK("obsidian://open?vault=o2&amp;file=2023-09-22.md","2023-09-22")</f>
        <v>2023-09-22</v>
      </c>
      <c r="L197" s="2" t="s">
        <v>3319</v>
      </c>
      <c r="M197" s="2" t="s">
        <v>3320</v>
      </c>
      <c r="N197" s="4">
        <v>2</v>
      </c>
      <c r="O197" s="2" t="s">
        <v>3548</v>
      </c>
      <c r="P197" s="11" t="s">
        <v>175</v>
      </c>
      <c r="Q197" s="2" t="s">
        <v>3549</v>
      </c>
      <c r="R197" s="11" t="s">
        <v>175</v>
      </c>
      <c r="AH197" s="11">
        <f>SUBTOTAL(3,_xlfn.SINGLE(tbl_code[RowId]))</f>
        <v>1</v>
      </c>
    </row>
    <row r="198" spans="10:34">
      <c r="J198" s="4">
        <v>188</v>
      </c>
      <c r="K198" s="21" t="str">
        <f>HYPERLINK("obsidian://open?vault=o2&amp;file=2023-09-22.md","2023-09-22")</f>
        <v>2023-09-22</v>
      </c>
      <c r="L198" s="2"/>
      <c r="M198" s="2" t="s">
        <v>3569</v>
      </c>
      <c r="N198" s="4">
        <v>1</v>
      </c>
      <c r="O198" s="2" t="s">
        <v>3591</v>
      </c>
      <c r="P198" s="11" t="s">
        <v>175</v>
      </c>
      <c r="AH198" s="11">
        <f>SUBTOTAL(3,_xlfn.SINGLE(tbl_code[RowId]))</f>
        <v>1</v>
      </c>
    </row>
    <row r="199" spans="10:34">
      <c r="J199" s="4">
        <v>189</v>
      </c>
      <c r="K199" s="21" t="str">
        <f>HYPERLINK("obsidian://open?vault=o2&amp;file=2023-09-25.md","2023-09-25")</f>
        <v>2023-09-25</v>
      </c>
      <c r="L199" s="2" t="s">
        <v>3319</v>
      </c>
      <c r="M199" s="2" t="s">
        <v>3320</v>
      </c>
      <c r="N199" s="4">
        <v>2</v>
      </c>
      <c r="O199" s="2" t="s">
        <v>3548</v>
      </c>
      <c r="P199" s="11" t="s">
        <v>175</v>
      </c>
      <c r="Q199" s="2" t="s">
        <v>3549</v>
      </c>
      <c r="R199" s="11" t="s">
        <v>175</v>
      </c>
      <c r="AH199" s="11">
        <f>SUBTOTAL(3,_xlfn.SINGLE(tbl_code[RowId]))</f>
        <v>1</v>
      </c>
    </row>
    <row r="200" spans="10:34">
      <c r="J200" s="4">
        <v>190</v>
      </c>
      <c r="K200" s="21" t="str">
        <f>HYPERLINK("obsidian://open?vault=o2&amp;file=2023-09-25.md","2023-09-25")</f>
        <v>2023-09-25</v>
      </c>
      <c r="L200" s="2"/>
      <c r="M200" s="2" t="s">
        <v>3569</v>
      </c>
      <c r="N200" s="4">
        <v>1</v>
      </c>
      <c r="O200" s="2" t="s">
        <v>3592</v>
      </c>
      <c r="P200" s="11" t="s">
        <v>175</v>
      </c>
      <c r="AH200" s="11">
        <f>SUBTOTAL(3,_xlfn.SINGLE(tbl_code[RowId]))</f>
        <v>1</v>
      </c>
    </row>
    <row r="201" spans="10:34">
      <c r="J201" s="4">
        <v>191</v>
      </c>
      <c r="K201" s="21" t="str">
        <f>HYPERLINK("obsidian://open?vault=o2&amp;file=2023-09-27.md","2023-09-27")</f>
        <v>2023-09-27</v>
      </c>
      <c r="L201" s="2" t="s">
        <v>3319</v>
      </c>
      <c r="M201" s="2" t="s">
        <v>3320</v>
      </c>
      <c r="N201" s="4">
        <v>2</v>
      </c>
      <c r="O201" s="2" t="s">
        <v>3548</v>
      </c>
      <c r="P201" s="11" t="s">
        <v>175</v>
      </c>
      <c r="Q201" s="2" t="s">
        <v>3549</v>
      </c>
      <c r="R201" s="11" t="s">
        <v>175</v>
      </c>
      <c r="AH201" s="11">
        <f>SUBTOTAL(3,_xlfn.SINGLE(tbl_code[RowId]))</f>
        <v>1</v>
      </c>
    </row>
    <row r="202" spans="10:34">
      <c r="J202" s="4">
        <v>192</v>
      </c>
      <c r="K202" s="21" t="str">
        <f>HYPERLINK("obsidian://open?vault=o2&amp;file=2023-09-27.md","2023-09-27")</f>
        <v>2023-09-27</v>
      </c>
      <c r="L202" s="2"/>
      <c r="M202" s="2" t="s">
        <v>3569</v>
      </c>
      <c r="N202" s="4">
        <v>1</v>
      </c>
      <c r="O202" s="2" t="s">
        <v>3593</v>
      </c>
      <c r="P202" s="11" t="s">
        <v>175</v>
      </c>
      <c r="AH202" s="11">
        <f>SUBTOTAL(3,_xlfn.SINGLE(tbl_code[RowId]))</f>
        <v>1</v>
      </c>
    </row>
    <row r="203" spans="10:34">
      <c r="J203" s="4">
        <v>193</v>
      </c>
      <c r="K203" s="21" t="str">
        <f>HYPERLINK("obsidian://open?vault=o2&amp;file=2023-09-29.md","2023-09-29")</f>
        <v>2023-09-29</v>
      </c>
      <c r="L203" s="2" t="s">
        <v>3319</v>
      </c>
      <c r="M203" s="2" t="s">
        <v>3320</v>
      </c>
      <c r="N203" s="4">
        <v>2</v>
      </c>
      <c r="O203" s="2" t="s">
        <v>3548</v>
      </c>
      <c r="P203" s="11" t="s">
        <v>175</v>
      </c>
      <c r="Q203" s="2" t="s">
        <v>3549</v>
      </c>
      <c r="R203" s="11" t="s">
        <v>175</v>
      </c>
      <c r="AH203" s="11">
        <f>SUBTOTAL(3,_xlfn.SINGLE(tbl_code[RowId]))</f>
        <v>1</v>
      </c>
    </row>
    <row r="204" spans="10:34">
      <c r="J204" s="4">
        <v>194</v>
      </c>
      <c r="K204" s="21" t="str">
        <f>HYPERLINK("obsidian://open?vault=o2&amp;file=2023-09-29.md","2023-09-29")</f>
        <v>2023-09-29</v>
      </c>
      <c r="L204" s="2"/>
      <c r="M204" s="2" t="s">
        <v>3569</v>
      </c>
      <c r="N204" s="4">
        <v>1</v>
      </c>
      <c r="O204" s="2" t="s">
        <v>3594</v>
      </c>
      <c r="P204" s="11" t="s">
        <v>175</v>
      </c>
      <c r="AH204" s="11">
        <f>SUBTOTAL(3,_xlfn.SINGLE(tbl_code[RowId]))</f>
        <v>1</v>
      </c>
    </row>
    <row r="205" spans="10:34">
      <c r="J205" s="4">
        <v>195</v>
      </c>
      <c r="K205" s="21" t="str">
        <f>HYPERLINK("obsidian://open?vault=o2&amp;file=2023-10-30.md","2023-10-30")</f>
        <v>2023-10-30</v>
      </c>
      <c r="L205" s="2" t="s">
        <v>3319</v>
      </c>
      <c r="M205" s="2" t="s">
        <v>3320</v>
      </c>
      <c r="N205" s="4">
        <v>2</v>
      </c>
      <c r="O205" s="2" t="s">
        <v>3548</v>
      </c>
      <c r="P205" s="11" t="s">
        <v>175</v>
      </c>
      <c r="Q205" s="2" t="s">
        <v>3549</v>
      </c>
      <c r="R205" s="11" t="s">
        <v>175</v>
      </c>
      <c r="AH205" s="11">
        <f>SUBTOTAL(3,_xlfn.SINGLE(tbl_code[RowId]))</f>
        <v>1</v>
      </c>
    </row>
    <row r="206" spans="10:34">
      <c r="J206" s="4">
        <v>196</v>
      </c>
      <c r="K206" s="21" t="str">
        <f>HYPERLINK("obsidian://open?vault=o2&amp;file=2023-10-30.md","2023-10-30")</f>
        <v>2023-10-30</v>
      </c>
      <c r="L206" s="2"/>
      <c r="M206" s="2" t="s">
        <v>3569</v>
      </c>
      <c r="N206" s="4">
        <v>1</v>
      </c>
      <c r="O206" s="2" t="s">
        <v>3595</v>
      </c>
      <c r="P206" s="11" t="s">
        <v>175</v>
      </c>
      <c r="AH206" s="11">
        <f>SUBTOTAL(3,_xlfn.SINGLE(tbl_code[RowId]))</f>
        <v>1</v>
      </c>
    </row>
    <row r="207" spans="10:34">
      <c r="J207" s="4">
        <v>197</v>
      </c>
      <c r="K207" s="21" t="str">
        <f>HYPERLINK("obsidian://open?vault=o2&amp;file=2023-11-06.md","2023-11-06")</f>
        <v>2023-11-06</v>
      </c>
      <c r="L207" s="2" t="s">
        <v>3319</v>
      </c>
      <c r="M207" s="2" t="s">
        <v>3320</v>
      </c>
      <c r="N207" s="4">
        <v>2</v>
      </c>
      <c r="O207" s="2" t="s">
        <v>3548</v>
      </c>
      <c r="P207" s="11" t="s">
        <v>175</v>
      </c>
      <c r="Q207" s="2" t="s">
        <v>3549</v>
      </c>
      <c r="R207" s="11" t="s">
        <v>175</v>
      </c>
      <c r="AH207" s="11">
        <f>SUBTOTAL(3,_xlfn.SINGLE(tbl_code[RowId]))</f>
        <v>1</v>
      </c>
    </row>
    <row r="208" spans="10:34">
      <c r="J208" s="4">
        <v>198</v>
      </c>
      <c r="K208" s="21" t="str">
        <f>HYPERLINK("obsidian://open?vault=o2&amp;file=2023-11-06.md","2023-11-06")</f>
        <v>2023-11-06</v>
      </c>
      <c r="L208" s="2"/>
      <c r="M208" s="2" t="s">
        <v>3569</v>
      </c>
      <c r="N208" s="4">
        <v>1</v>
      </c>
      <c r="O208" s="2" t="s">
        <v>3596</v>
      </c>
      <c r="P208" s="11" t="s">
        <v>175</v>
      </c>
      <c r="AH208" s="11">
        <f>SUBTOTAL(3,_xlfn.SINGLE(tbl_code[RowId]))</f>
        <v>1</v>
      </c>
    </row>
    <row r="209" spans="10:34">
      <c r="J209" s="4">
        <v>199</v>
      </c>
      <c r="K209" s="21" t="str">
        <f>HYPERLINK("obsidian://open?vault=o2&amp;file=2023-11-17.md","2023-11-17")</f>
        <v>2023-11-17</v>
      </c>
      <c r="L209" s="2" t="s">
        <v>3319</v>
      </c>
      <c r="M209" s="2" t="s">
        <v>3320</v>
      </c>
      <c r="N209" s="4">
        <v>2</v>
      </c>
      <c r="O209" s="2" t="s">
        <v>3548</v>
      </c>
      <c r="P209" s="11" t="s">
        <v>175</v>
      </c>
      <c r="Q209" s="2" t="s">
        <v>3549</v>
      </c>
      <c r="R209" s="11" t="s">
        <v>175</v>
      </c>
      <c r="AH209" s="11">
        <f>SUBTOTAL(3,_xlfn.SINGLE(tbl_code[RowId]))</f>
        <v>1</v>
      </c>
    </row>
    <row r="210" spans="10:34">
      <c r="J210" s="4">
        <v>200</v>
      </c>
      <c r="K210" s="21" t="str">
        <f>HYPERLINK("obsidian://open?vault=o2&amp;file=2023-11-17.md","2023-11-17")</f>
        <v>2023-11-17</v>
      </c>
      <c r="L210" s="2"/>
      <c r="M210" s="2" t="s">
        <v>3569</v>
      </c>
      <c r="N210" s="4">
        <v>1</v>
      </c>
      <c r="O210" s="2" t="s">
        <v>3597</v>
      </c>
      <c r="P210" s="11" t="s">
        <v>175</v>
      </c>
      <c r="AH210" s="11">
        <f>SUBTOTAL(3,_xlfn.SINGLE(tbl_code[RowId]))</f>
        <v>1</v>
      </c>
    </row>
    <row r="211" spans="10:34">
      <c r="J211" s="4">
        <v>201</v>
      </c>
      <c r="K211" s="21" t="str">
        <f>HYPERLINK("obsidian://open?vault=o2&amp;file=2023-11-29.md","2023-11-29")</f>
        <v>2023-11-29</v>
      </c>
      <c r="L211" s="2" t="s">
        <v>3319</v>
      </c>
      <c r="M211" s="2" t="s">
        <v>3320</v>
      </c>
      <c r="N211" s="4">
        <v>2</v>
      </c>
      <c r="O211" s="2" t="s">
        <v>3548</v>
      </c>
      <c r="P211" s="11" t="s">
        <v>175</v>
      </c>
      <c r="Q211" s="2" t="s">
        <v>3549</v>
      </c>
      <c r="R211" s="11" t="s">
        <v>175</v>
      </c>
      <c r="AH211" s="11">
        <f>SUBTOTAL(3,_xlfn.SINGLE(tbl_code[RowId]))</f>
        <v>1</v>
      </c>
    </row>
    <row r="212" spans="10:34">
      <c r="J212" s="4">
        <v>202</v>
      </c>
      <c r="K212" s="21" t="str">
        <f>HYPERLINK("obsidian://open?vault=o2&amp;file=2023-11-29.md","2023-11-29")</f>
        <v>2023-11-29</v>
      </c>
      <c r="L212" s="2"/>
      <c r="M212" s="2" t="s">
        <v>3569</v>
      </c>
      <c r="N212" s="4">
        <v>1</v>
      </c>
      <c r="O212" s="2" t="s">
        <v>3598</v>
      </c>
      <c r="P212" s="11" t="s">
        <v>175</v>
      </c>
      <c r="AH212" s="11">
        <f>SUBTOTAL(3,_xlfn.SINGLE(tbl_code[RowId]))</f>
        <v>1</v>
      </c>
    </row>
    <row r="213" spans="10:34">
      <c r="J213" s="4">
        <v>203</v>
      </c>
      <c r="K213" s="21" t="str">
        <f>HYPERLINK("obsidian://open?vault=o2&amp;file=2023-11-30.md","2023-11-30")</f>
        <v>2023-11-30</v>
      </c>
      <c r="L213" s="2" t="s">
        <v>3319</v>
      </c>
      <c r="M213" s="2" t="s">
        <v>3320</v>
      </c>
      <c r="N213" s="4">
        <v>2</v>
      </c>
      <c r="O213" s="2" t="s">
        <v>3548</v>
      </c>
      <c r="P213" s="11" t="s">
        <v>175</v>
      </c>
      <c r="Q213" s="2" t="s">
        <v>3549</v>
      </c>
      <c r="R213" s="11" t="s">
        <v>175</v>
      </c>
      <c r="AH213" s="11">
        <f>SUBTOTAL(3,_xlfn.SINGLE(tbl_code[RowId]))</f>
        <v>1</v>
      </c>
    </row>
    <row r="214" spans="10:34">
      <c r="J214" s="4">
        <v>204</v>
      </c>
      <c r="K214" s="21" t="str">
        <f>HYPERLINK("obsidian://open?vault=o2&amp;file=2023-11-30.md","2023-11-30")</f>
        <v>2023-11-30</v>
      </c>
      <c r="L214" s="2"/>
      <c r="M214" s="2" t="s">
        <v>3569</v>
      </c>
      <c r="N214" s="4">
        <v>1</v>
      </c>
      <c r="O214" s="2" t="s">
        <v>3599</v>
      </c>
      <c r="P214" s="11" t="s">
        <v>175</v>
      </c>
      <c r="AH214" s="11">
        <f>SUBTOTAL(3,_xlfn.SINGLE(tbl_code[RowId]))</f>
        <v>1</v>
      </c>
    </row>
    <row r="215" spans="10:34">
      <c r="J215" s="4">
        <v>205</v>
      </c>
      <c r="K215" s="21" t="str">
        <f>HYPERLINK("obsidian://open?vault=o2&amp;file=2023-12-01.md","2023-12-01")</f>
        <v>2023-12-01</v>
      </c>
      <c r="L215" s="2" t="s">
        <v>3319</v>
      </c>
      <c r="M215" s="2" t="s">
        <v>3320</v>
      </c>
      <c r="N215" s="4">
        <v>2</v>
      </c>
      <c r="O215" s="2" t="s">
        <v>3548</v>
      </c>
      <c r="P215" s="11" t="s">
        <v>175</v>
      </c>
      <c r="Q215" s="2" t="s">
        <v>3549</v>
      </c>
      <c r="R215" s="11" t="s">
        <v>175</v>
      </c>
      <c r="AH215" s="11">
        <f>SUBTOTAL(3,_xlfn.SINGLE(tbl_code[RowId]))</f>
        <v>1</v>
      </c>
    </row>
    <row r="216" spans="10:34">
      <c r="J216" s="4">
        <v>206</v>
      </c>
      <c r="K216" s="21" t="str">
        <f>HYPERLINK("obsidian://open?vault=o2&amp;file=2023-12-01.md","2023-12-01")</f>
        <v>2023-12-01</v>
      </c>
      <c r="L216" s="2"/>
      <c r="M216" s="2" t="s">
        <v>3569</v>
      </c>
      <c r="N216" s="4">
        <v>1</v>
      </c>
      <c r="O216" s="2" t="s">
        <v>3600</v>
      </c>
      <c r="P216" s="11" t="s">
        <v>175</v>
      </c>
      <c r="AH216" s="11">
        <f>SUBTOTAL(3,_xlfn.SINGLE(tbl_code[RowId]))</f>
        <v>1</v>
      </c>
    </row>
    <row r="217" spans="10:34">
      <c r="J217" s="4">
        <v>207</v>
      </c>
      <c r="K217" s="21" t="str">
        <f>HYPERLINK("obsidian://open?vault=o2&amp;file=2023-12-02.md","2023-12-02")</f>
        <v>2023-12-02</v>
      </c>
      <c r="L217" s="2" t="s">
        <v>3319</v>
      </c>
      <c r="M217" s="2" t="s">
        <v>3320</v>
      </c>
      <c r="N217" s="4">
        <v>2</v>
      </c>
      <c r="O217" s="2" t="s">
        <v>3548</v>
      </c>
      <c r="P217" s="11" t="s">
        <v>175</v>
      </c>
      <c r="Q217" s="2" t="s">
        <v>3549</v>
      </c>
      <c r="R217" s="11" t="s">
        <v>175</v>
      </c>
      <c r="AH217" s="11">
        <f>SUBTOTAL(3,_xlfn.SINGLE(tbl_code[RowId]))</f>
        <v>1</v>
      </c>
    </row>
    <row r="218" spans="10:34">
      <c r="J218" s="4">
        <v>208</v>
      </c>
      <c r="K218" s="21" t="str">
        <f>HYPERLINK("obsidian://open?vault=o2&amp;file=2023-12-02.md","2023-12-02")</f>
        <v>2023-12-02</v>
      </c>
      <c r="L218" s="2"/>
      <c r="M218" s="2" t="s">
        <v>3569</v>
      </c>
      <c r="N218" s="4">
        <v>1</v>
      </c>
      <c r="O218" s="2" t="s">
        <v>3601</v>
      </c>
      <c r="P218" s="11" t="s">
        <v>175</v>
      </c>
      <c r="AH218" s="11">
        <f>SUBTOTAL(3,_xlfn.SINGLE(tbl_code[RowId]))</f>
        <v>1</v>
      </c>
    </row>
    <row r="219" spans="10:34">
      <c r="J219" s="4">
        <v>209</v>
      </c>
      <c r="K219" s="21" t="str">
        <f>HYPERLINK("obsidian://open?vault=o2&amp;file=2023-12-03.md","2023-12-03")</f>
        <v>2023-12-03</v>
      </c>
      <c r="L219" s="2" t="s">
        <v>3319</v>
      </c>
      <c r="M219" s="2" t="s">
        <v>3320</v>
      </c>
      <c r="N219" s="4">
        <v>2</v>
      </c>
      <c r="O219" s="2" t="s">
        <v>3548</v>
      </c>
      <c r="P219" s="11" t="s">
        <v>175</v>
      </c>
      <c r="Q219" s="2" t="s">
        <v>3549</v>
      </c>
      <c r="R219" s="11" t="s">
        <v>175</v>
      </c>
      <c r="AH219" s="11">
        <f>SUBTOTAL(3,_xlfn.SINGLE(tbl_code[RowId]))</f>
        <v>1</v>
      </c>
    </row>
    <row r="220" spans="10:34">
      <c r="J220" s="4">
        <v>210</v>
      </c>
      <c r="K220" s="21" t="str">
        <f>HYPERLINK("obsidian://open?vault=o2&amp;file=2023-12-03.md","2023-12-03")</f>
        <v>2023-12-03</v>
      </c>
      <c r="L220" s="2"/>
      <c r="M220" s="2" t="s">
        <v>3569</v>
      </c>
      <c r="N220" s="4">
        <v>1</v>
      </c>
      <c r="O220" s="2" t="s">
        <v>3602</v>
      </c>
      <c r="P220" s="11" t="s">
        <v>175</v>
      </c>
      <c r="AH220" s="11">
        <f>SUBTOTAL(3,_xlfn.SINGLE(tbl_code[RowId]))</f>
        <v>1</v>
      </c>
    </row>
    <row r="221" spans="10:34">
      <c r="J221" s="4">
        <v>211</v>
      </c>
      <c r="K221" s="21" t="str">
        <f>HYPERLINK("obsidian://open?vault=o2&amp;file=2023-12-04.md","2023-12-04")</f>
        <v>2023-12-04</v>
      </c>
      <c r="L221" s="2" t="s">
        <v>3319</v>
      </c>
      <c r="M221" s="2" t="s">
        <v>3320</v>
      </c>
      <c r="N221" s="4">
        <v>2</v>
      </c>
      <c r="O221" s="2" t="s">
        <v>3548</v>
      </c>
      <c r="P221" s="11" t="s">
        <v>175</v>
      </c>
      <c r="Q221" s="2" t="s">
        <v>3549</v>
      </c>
      <c r="R221" s="11" t="s">
        <v>175</v>
      </c>
      <c r="AH221" s="11">
        <f>SUBTOTAL(3,_xlfn.SINGLE(tbl_code[RowId]))</f>
        <v>1</v>
      </c>
    </row>
    <row r="222" spans="10:34">
      <c r="J222" s="4">
        <v>212</v>
      </c>
      <c r="K222" s="21" t="str">
        <f>HYPERLINK("obsidian://open?vault=o2&amp;file=2023-12-04.md","2023-12-04")</f>
        <v>2023-12-04</v>
      </c>
      <c r="L222" s="2"/>
      <c r="M222" s="2" t="s">
        <v>3569</v>
      </c>
      <c r="N222" s="4">
        <v>1</v>
      </c>
      <c r="O222" s="2" t="s">
        <v>3603</v>
      </c>
      <c r="P222" s="11" t="s">
        <v>175</v>
      </c>
      <c r="AH222" s="11">
        <f>SUBTOTAL(3,_xlfn.SINGLE(tbl_code[RowId]))</f>
        <v>1</v>
      </c>
    </row>
    <row r="223" spans="10:34">
      <c r="J223" s="4">
        <v>213</v>
      </c>
      <c r="K223" s="21" t="str">
        <f>HYPERLINK("obsidian://open?vault=o2&amp;file=2023-12-05.md","2023-12-05")</f>
        <v>2023-12-05</v>
      </c>
      <c r="L223" s="2" t="s">
        <v>3319</v>
      </c>
      <c r="M223" s="2" t="s">
        <v>3320</v>
      </c>
      <c r="N223" s="4">
        <v>2</v>
      </c>
      <c r="O223" s="2" t="s">
        <v>3548</v>
      </c>
      <c r="P223" s="11" t="s">
        <v>175</v>
      </c>
      <c r="Q223" s="2" t="s">
        <v>3549</v>
      </c>
      <c r="R223" s="11" t="s">
        <v>175</v>
      </c>
      <c r="AH223" s="11">
        <f>SUBTOTAL(3,_xlfn.SINGLE(tbl_code[RowId]))</f>
        <v>1</v>
      </c>
    </row>
    <row r="224" spans="10:34">
      <c r="J224" s="4">
        <v>214</v>
      </c>
      <c r="K224" s="21" t="str">
        <f>HYPERLINK("obsidian://open?vault=o2&amp;file=2023-12-05.md","2023-12-05")</f>
        <v>2023-12-05</v>
      </c>
      <c r="L224" s="2"/>
      <c r="M224" s="2" t="s">
        <v>3569</v>
      </c>
      <c r="N224" s="4">
        <v>1</v>
      </c>
      <c r="O224" s="2" t="s">
        <v>3604</v>
      </c>
      <c r="P224" s="11" t="s">
        <v>175</v>
      </c>
      <c r="AH224" s="11">
        <f>SUBTOTAL(3,_xlfn.SINGLE(tbl_code[RowId]))</f>
        <v>1</v>
      </c>
    </row>
    <row r="225" spans="10:34">
      <c r="J225" s="4">
        <v>215</v>
      </c>
      <c r="K225" s="21" t="str">
        <f>HYPERLINK("obsidian://open?vault=o2&amp;file=2023-12-06.md","2023-12-06")</f>
        <v>2023-12-06</v>
      </c>
      <c r="L225" s="2" t="s">
        <v>3319</v>
      </c>
      <c r="M225" s="2" t="s">
        <v>3320</v>
      </c>
      <c r="N225" s="4">
        <v>2</v>
      </c>
      <c r="O225" s="2" t="s">
        <v>3548</v>
      </c>
      <c r="P225" s="11" t="s">
        <v>175</v>
      </c>
      <c r="Q225" s="2" t="s">
        <v>3549</v>
      </c>
      <c r="R225" s="11" t="s">
        <v>175</v>
      </c>
      <c r="AH225" s="11">
        <f>SUBTOTAL(3,_xlfn.SINGLE(tbl_code[RowId]))</f>
        <v>1</v>
      </c>
    </row>
    <row r="226" spans="10:34">
      <c r="J226" s="4">
        <v>216</v>
      </c>
      <c r="K226" s="21" t="str">
        <f>HYPERLINK("obsidian://open?vault=o2&amp;file=2023-12-06.md","2023-12-06")</f>
        <v>2023-12-06</v>
      </c>
      <c r="L226" s="2"/>
      <c r="M226" s="2" t="s">
        <v>3569</v>
      </c>
      <c r="N226" s="4">
        <v>1</v>
      </c>
      <c r="O226" s="2" t="s">
        <v>3605</v>
      </c>
      <c r="P226" s="11" t="s">
        <v>175</v>
      </c>
      <c r="AH226" s="11">
        <f>SUBTOTAL(3,_xlfn.SINGLE(tbl_code[RowId]))</f>
        <v>1</v>
      </c>
    </row>
    <row r="227" spans="10:34">
      <c r="J227" s="4">
        <v>217</v>
      </c>
      <c r="K227" s="21" t="str">
        <f>HYPERLINK("obsidian://open?vault=o2&amp;file=2023-12-07.md","2023-12-07")</f>
        <v>2023-12-07</v>
      </c>
      <c r="L227" s="2" t="s">
        <v>3319</v>
      </c>
      <c r="M227" s="2" t="s">
        <v>3320</v>
      </c>
      <c r="N227" s="4">
        <v>2</v>
      </c>
      <c r="O227" s="2" t="s">
        <v>3548</v>
      </c>
      <c r="P227" s="11" t="s">
        <v>175</v>
      </c>
      <c r="Q227" s="2" t="s">
        <v>3549</v>
      </c>
      <c r="R227" s="11" t="s">
        <v>175</v>
      </c>
      <c r="AH227" s="11">
        <f>SUBTOTAL(3,_xlfn.SINGLE(tbl_code[RowId]))</f>
        <v>1</v>
      </c>
    </row>
    <row r="228" spans="10:34">
      <c r="J228" s="4">
        <v>218</v>
      </c>
      <c r="K228" s="21" t="str">
        <f>HYPERLINK("obsidian://open?vault=o2&amp;file=2023-12-07.md","2023-12-07")</f>
        <v>2023-12-07</v>
      </c>
      <c r="L228" s="2"/>
      <c r="M228" s="2" t="s">
        <v>3569</v>
      </c>
      <c r="N228" s="4">
        <v>1</v>
      </c>
      <c r="O228" s="2" t="s">
        <v>3606</v>
      </c>
      <c r="P228" s="11" t="s">
        <v>175</v>
      </c>
      <c r="AH228" s="11">
        <f>SUBTOTAL(3,_xlfn.SINGLE(tbl_code[RowId]))</f>
        <v>1</v>
      </c>
    </row>
    <row r="229" spans="10:34">
      <c r="J229" s="4">
        <v>219</v>
      </c>
      <c r="K229" s="21" t="str">
        <f>HYPERLINK("obsidian://open?vault=o2&amp;file=2023-12-09.md","2023-12-09")</f>
        <v>2023-12-09</v>
      </c>
      <c r="L229" s="2" t="s">
        <v>3319</v>
      </c>
      <c r="M229" s="2" t="s">
        <v>3320</v>
      </c>
      <c r="N229" s="4">
        <v>2</v>
      </c>
      <c r="O229" s="2" t="s">
        <v>3548</v>
      </c>
      <c r="P229" s="11" t="s">
        <v>175</v>
      </c>
      <c r="Q229" s="2" t="s">
        <v>3549</v>
      </c>
      <c r="R229" s="11" t="s">
        <v>175</v>
      </c>
      <c r="AH229" s="11">
        <f>SUBTOTAL(3,_xlfn.SINGLE(tbl_code[RowId]))</f>
        <v>1</v>
      </c>
    </row>
    <row r="230" spans="10:34">
      <c r="J230" s="4">
        <v>220</v>
      </c>
      <c r="K230" s="21" t="str">
        <f>HYPERLINK("obsidian://open?vault=o2&amp;file=2023-12-09.md","2023-12-09")</f>
        <v>2023-12-09</v>
      </c>
      <c r="L230" s="2"/>
      <c r="M230" s="2" t="s">
        <v>3569</v>
      </c>
      <c r="N230" s="4">
        <v>1</v>
      </c>
      <c r="O230" s="2" t="s">
        <v>3607</v>
      </c>
      <c r="P230" s="11" t="s">
        <v>175</v>
      </c>
      <c r="AH230" s="11">
        <f>SUBTOTAL(3,_xlfn.SINGLE(tbl_code[RowId]))</f>
        <v>1</v>
      </c>
    </row>
    <row r="231" spans="10:34">
      <c r="J231" s="4">
        <v>221</v>
      </c>
      <c r="K231" s="21" t="str">
        <f>HYPERLINK("obsidian://open?vault=o2&amp;file=2023-12-11.md","2023-12-11")</f>
        <v>2023-12-11</v>
      </c>
      <c r="L231" s="2" t="s">
        <v>3319</v>
      </c>
      <c r="M231" s="2" t="s">
        <v>3320</v>
      </c>
      <c r="N231" s="4">
        <v>2</v>
      </c>
      <c r="O231" s="2" t="s">
        <v>3548</v>
      </c>
      <c r="P231" s="11" t="s">
        <v>175</v>
      </c>
      <c r="Q231" s="2" t="s">
        <v>3549</v>
      </c>
      <c r="R231" s="11" t="s">
        <v>175</v>
      </c>
      <c r="AH231" s="11">
        <f>SUBTOTAL(3,_xlfn.SINGLE(tbl_code[RowId]))</f>
        <v>1</v>
      </c>
    </row>
    <row r="232" spans="10:34">
      <c r="J232" s="4">
        <v>222</v>
      </c>
      <c r="K232" s="21" t="str">
        <f>HYPERLINK("obsidian://open?vault=o2&amp;file=2023-12-11.md","2023-12-11")</f>
        <v>2023-12-11</v>
      </c>
      <c r="L232" s="2"/>
      <c r="M232" s="2" t="s">
        <v>3569</v>
      </c>
      <c r="N232" s="4">
        <v>1</v>
      </c>
      <c r="O232" s="2" t="s">
        <v>3608</v>
      </c>
      <c r="P232" s="11" t="s">
        <v>175</v>
      </c>
      <c r="AH232" s="11">
        <f>SUBTOTAL(3,_xlfn.SINGLE(tbl_code[RowId]))</f>
        <v>1</v>
      </c>
    </row>
    <row r="233" spans="10:34">
      <c r="J233" s="4">
        <v>223</v>
      </c>
      <c r="K233" s="21" t="str">
        <f>HYPERLINK("obsidian://open?vault=o2&amp;file=2023-12-19.md","2023-12-19")</f>
        <v>2023-12-19</v>
      </c>
      <c r="L233" s="2" t="s">
        <v>3319</v>
      </c>
      <c r="M233" s="2" t="s">
        <v>3320</v>
      </c>
      <c r="N233" s="4">
        <v>2</v>
      </c>
      <c r="O233" s="2" t="s">
        <v>3548</v>
      </c>
      <c r="P233" s="11" t="s">
        <v>175</v>
      </c>
      <c r="Q233" s="2" t="s">
        <v>3549</v>
      </c>
      <c r="R233" s="11" t="s">
        <v>175</v>
      </c>
      <c r="AH233" s="11">
        <f>SUBTOTAL(3,_xlfn.SINGLE(tbl_code[RowId]))</f>
        <v>1</v>
      </c>
    </row>
    <row r="234" spans="10:34">
      <c r="J234" s="4">
        <v>224</v>
      </c>
      <c r="K234" s="21" t="str">
        <f>HYPERLINK("obsidian://open?vault=o2&amp;file=2023-12-19.md","2023-12-19")</f>
        <v>2023-12-19</v>
      </c>
      <c r="L234" s="2"/>
      <c r="M234" s="2" t="s">
        <v>3569</v>
      </c>
      <c r="N234" s="4">
        <v>1</v>
      </c>
      <c r="O234" s="2" t="s">
        <v>3609</v>
      </c>
      <c r="P234" s="11" t="s">
        <v>175</v>
      </c>
      <c r="AH234" s="11">
        <f>SUBTOTAL(3,_xlfn.SINGLE(tbl_code[RowId]))</f>
        <v>1</v>
      </c>
    </row>
    <row r="235" spans="10:34">
      <c r="J235" s="4">
        <v>225</v>
      </c>
      <c r="K235" s="21" t="str">
        <f>HYPERLINK("obsidian://open?vault=o2&amp;file=2023-12-20.md","2023-12-20")</f>
        <v>2023-12-20</v>
      </c>
      <c r="L235" s="2" t="s">
        <v>3319</v>
      </c>
      <c r="M235" s="2" t="s">
        <v>3320</v>
      </c>
      <c r="N235" s="4">
        <v>2</v>
      </c>
      <c r="O235" s="2" t="s">
        <v>3548</v>
      </c>
      <c r="P235" s="11" t="s">
        <v>175</v>
      </c>
      <c r="Q235" s="2" t="s">
        <v>3549</v>
      </c>
      <c r="R235" s="11" t="s">
        <v>175</v>
      </c>
      <c r="AH235" s="11">
        <f>SUBTOTAL(3,_xlfn.SINGLE(tbl_code[RowId]))</f>
        <v>1</v>
      </c>
    </row>
    <row r="236" spans="10:34">
      <c r="J236" s="4">
        <v>226</v>
      </c>
      <c r="K236" s="21" t="str">
        <f>HYPERLINK("obsidian://open?vault=o2&amp;file=2023-12-20.md","2023-12-20")</f>
        <v>2023-12-20</v>
      </c>
      <c r="L236" s="2"/>
      <c r="M236" s="2" t="s">
        <v>3569</v>
      </c>
      <c r="N236" s="4">
        <v>1</v>
      </c>
      <c r="O236" s="2" t="s">
        <v>3610</v>
      </c>
      <c r="P236" s="11" t="s">
        <v>175</v>
      </c>
      <c r="AH236" s="11">
        <f>SUBTOTAL(3,_xlfn.SINGLE(tbl_code[RowId]))</f>
        <v>1</v>
      </c>
    </row>
    <row r="237" spans="10:34">
      <c r="J237" s="4">
        <v>227</v>
      </c>
      <c r="K237" s="21" t="str">
        <f>HYPERLINK("obsidian://open?vault=o2&amp;file=2023-12-21.md","2023-12-21")</f>
        <v>2023-12-21</v>
      </c>
      <c r="L237" s="2" t="s">
        <v>3319</v>
      </c>
      <c r="M237" s="2" t="s">
        <v>3320</v>
      </c>
      <c r="N237" s="4">
        <v>2</v>
      </c>
      <c r="O237" s="2" t="s">
        <v>3548</v>
      </c>
      <c r="P237" s="11" t="s">
        <v>175</v>
      </c>
      <c r="Q237" s="2" t="s">
        <v>3549</v>
      </c>
      <c r="R237" s="11" t="s">
        <v>175</v>
      </c>
      <c r="AH237" s="11">
        <f>SUBTOTAL(3,_xlfn.SINGLE(tbl_code[RowId]))</f>
        <v>1</v>
      </c>
    </row>
    <row r="238" spans="10:34">
      <c r="J238" s="4">
        <v>228</v>
      </c>
      <c r="K238" s="21" t="str">
        <f>HYPERLINK("obsidian://open?vault=o2&amp;file=2023-12-21.md","2023-12-21")</f>
        <v>2023-12-21</v>
      </c>
      <c r="L238" s="2"/>
      <c r="M238" s="2" t="s">
        <v>3569</v>
      </c>
      <c r="N238" s="4">
        <v>1</v>
      </c>
      <c r="O238" s="2" t="s">
        <v>3611</v>
      </c>
      <c r="P238" s="11" t="s">
        <v>175</v>
      </c>
      <c r="AH238" s="11">
        <f>SUBTOTAL(3,_xlfn.SINGLE(tbl_code[RowId]))</f>
        <v>1</v>
      </c>
    </row>
    <row r="239" spans="10:34">
      <c r="J239" s="4">
        <v>229</v>
      </c>
      <c r="K239" s="21" t="str">
        <f>HYPERLINK("obsidian://open?vault=o2&amp;file=2024-01-10.md","2024-01-10")</f>
        <v>2024-01-10</v>
      </c>
      <c r="L239" s="2" t="s">
        <v>3319</v>
      </c>
      <c r="M239" s="2" t="s">
        <v>3320</v>
      </c>
      <c r="N239" s="4">
        <v>2</v>
      </c>
      <c r="O239" s="2" t="s">
        <v>3548</v>
      </c>
      <c r="P239" s="11" t="s">
        <v>175</v>
      </c>
      <c r="Q239" s="2" t="s">
        <v>3549</v>
      </c>
      <c r="R239" s="11" t="s">
        <v>175</v>
      </c>
      <c r="AH239" s="11">
        <f>SUBTOTAL(3,_xlfn.SINGLE(tbl_code[RowId]))</f>
        <v>1</v>
      </c>
    </row>
    <row r="240" spans="10:34">
      <c r="J240" s="4">
        <v>230</v>
      </c>
      <c r="K240" s="21" t="str">
        <f>HYPERLINK("obsidian://open?vault=o2&amp;file=2024-01-10.md","2024-01-10")</f>
        <v>2024-01-10</v>
      </c>
      <c r="L240" s="2"/>
      <c r="M240" s="2" t="s">
        <v>3569</v>
      </c>
      <c r="N240" s="4">
        <v>1</v>
      </c>
      <c r="O240" s="2" t="s">
        <v>3612</v>
      </c>
      <c r="P240" s="11" t="s">
        <v>175</v>
      </c>
      <c r="AH240" s="11">
        <f>SUBTOTAL(3,_xlfn.SINGLE(tbl_code[RowId]))</f>
        <v>1</v>
      </c>
    </row>
    <row r="241" spans="10:34">
      <c r="J241" s="4">
        <v>231</v>
      </c>
      <c r="K241" s="21" t="str">
        <f>HYPERLINK("obsidian://open?vault=o2&amp;file=2024-01-13.md","2024-01-13")</f>
        <v>2024-01-13</v>
      </c>
      <c r="L241" s="2" t="s">
        <v>3319</v>
      </c>
      <c r="M241" s="2" t="s">
        <v>3320</v>
      </c>
      <c r="N241" s="4">
        <v>2</v>
      </c>
      <c r="O241" s="2" t="s">
        <v>3548</v>
      </c>
      <c r="P241" s="11" t="s">
        <v>175</v>
      </c>
      <c r="Q241" s="2" t="s">
        <v>3549</v>
      </c>
      <c r="R241" s="11" t="s">
        <v>175</v>
      </c>
      <c r="AH241" s="11">
        <f>SUBTOTAL(3,_xlfn.SINGLE(tbl_code[RowId]))</f>
        <v>1</v>
      </c>
    </row>
    <row r="242" spans="10:34">
      <c r="J242" s="4">
        <v>232</v>
      </c>
      <c r="K242" s="21" t="str">
        <f>HYPERLINK("obsidian://open?vault=o2&amp;file=2024-01-13.md","2024-01-13")</f>
        <v>2024-01-13</v>
      </c>
      <c r="L242" s="2"/>
      <c r="M242" s="2" t="s">
        <v>3569</v>
      </c>
      <c r="N242" s="4">
        <v>1</v>
      </c>
      <c r="O242" s="2" t="s">
        <v>3613</v>
      </c>
      <c r="P242" s="11" t="s">
        <v>175</v>
      </c>
      <c r="AH242" s="11">
        <f>SUBTOTAL(3,_xlfn.SINGLE(tbl_code[RowId]))</f>
        <v>1</v>
      </c>
    </row>
    <row r="243" spans="10:34">
      <c r="J243" s="4">
        <v>233</v>
      </c>
      <c r="K243" s="21" t="str">
        <f>HYPERLINK("obsidian://open?vault=o2&amp;file=2024-01-14.md","2024-01-14")</f>
        <v>2024-01-14</v>
      </c>
      <c r="L243" s="2" t="s">
        <v>3319</v>
      </c>
      <c r="M243" s="2" t="s">
        <v>3320</v>
      </c>
      <c r="N243" s="4">
        <v>2</v>
      </c>
      <c r="O243" s="2" t="s">
        <v>3548</v>
      </c>
      <c r="P243" s="11" t="s">
        <v>175</v>
      </c>
      <c r="Q243" s="2" t="s">
        <v>3549</v>
      </c>
      <c r="R243" s="11" t="s">
        <v>175</v>
      </c>
      <c r="AH243" s="11">
        <f>SUBTOTAL(3,_xlfn.SINGLE(tbl_code[RowId]))</f>
        <v>1</v>
      </c>
    </row>
    <row r="244" spans="10:34">
      <c r="J244" s="4">
        <v>234</v>
      </c>
      <c r="K244" s="21" t="str">
        <f>HYPERLINK("obsidian://open?vault=o2&amp;file=2024-01-18.md","2024-01-18")</f>
        <v>2024-01-18</v>
      </c>
      <c r="L244" s="2" t="s">
        <v>3319</v>
      </c>
      <c r="M244" s="2" t="s">
        <v>3320</v>
      </c>
      <c r="N244" s="4">
        <v>2</v>
      </c>
      <c r="O244" s="2" t="s">
        <v>3548</v>
      </c>
      <c r="P244" s="11" t="s">
        <v>175</v>
      </c>
      <c r="Q244" s="2" t="s">
        <v>3549</v>
      </c>
      <c r="R244" s="11" t="s">
        <v>175</v>
      </c>
      <c r="AH244" s="11">
        <f>SUBTOTAL(3,_xlfn.SINGLE(tbl_code[RowId]))</f>
        <v>1</v>
      </c>
    </row>
    <row r="245" spans="10:34">
      <c r="J245" s="4">
        <v>235</v>
      </c>
      <c r="K245" s="21" t="str">
        <f>HYPERLINK("obsidian://open?vault=o2&amp;file=2024-01-18.md","2024-01-18")</f>
        <v>2024-01-18</v>
      </c>
      <c r="L245" s="2"/>
      <c r="M245" s="2" t="s">
        <v>3569</v>
      </c>
      <c r="N245" s="4">
        <v>1</v>
      </c>
      <c r="O245" s="2" t="s">
        <v>3614</v>
      </c>
      <c r="P245" s="11" t="s">
        <v>175</v>
      </c>
      <c r="AH245" s="11">
        <f>SUBTOTAL(3,_xlfn.SINGLE(tbl_code[RowId]))</f>
        <v>1</v>
      </c>
    </row>
    <row r="246" spans="10:34">
      <c r="J246" s="4">
        <v>236</v>
      </c>
      <c r="K246" s="21" t="str">
        <f>HYPERLINK("obsidian://open?vault=o2&amp;file=2024-01-20.md","2024-01-20")</f>
        <v>2024-01-20</v>
      </c>
      <c r="L246" s="2" t="s">
        <v>3319</v>
      </c>
      <c r="M246" s="2" t="s">
        <v>3320</v>
      </c>
      <c r="N246" s="4">
        <v>2</v>
      </c>
      <c r="O246" s="2" t="s">
        <v>3548</v>
      </c>
      <c r="P246" s="11" t="s">
        <v>175</v>
      </c>
      <c r="Q246" s="2" t="s">
        <v>3549</v>
      </c>
      <c r="R246" s="11" t="s">
        <v>175</v>
      </c>
      <c r="AH246" s="11">
        <f>SUBTOTAL(3,_xlfn.SINGLE(tbl_code[RowId]))</f>
        <v>1</v>
      </c>
    </row>
    <row r="247" spans="10:34">
      <c r="J247" s="4">
        <v>237</v>
      </c>
      <c r="K247" s="21" t="str">
        <f>HYPERLINK("obsidian://open?vault=o2&amp;file=2024-01-20.md","2024-01-20")</f>
        <v>2024-01-20</v>
      </c>
      <c r="L247" s="2"/>
      <c r="M247" s="2" t="s">
        <v>3569</v>
      </c>
      <c r="N247" s="4">
        <v>1</v>
      </c>
      <c r="O247" s="2" t="s">
        <v>3615</v>
      </c>
      <c r="P247" s="11" t="s">
        <v>175</v>
      </c>
      <c r="AH247" s="11">
        <f>SUBTOTAL(3,_xlfn.SINGLE(tbl_code[RowId]))</f>
        <v>1</v>
      </c>
    </row>
    <row r="248" spans="10:34">
      <c r="J248" s="4">
        <v>238</v>
      </c>
      <c r="K248" s="21" t="str">
        <f>HYPERLINK("obsidian://open?vault=o2&amp;file=2024-02-01.md","2024-02-01")</f>
        <v>2024-02-01</v>
      </c>
      <c r="L248" s="2" t="s">
        <v>3319</v>
      </c>
      <c r="M248" s="2" t="s">
        <v>3320</v>
      </c>
      <c r="N248" s="4">
        <v>2</v>
      </c>
      <c r="O248" s="2" t="s">
        <v>3548</v>
      </c>
      <c r="P248" s="11" t="s">
        <v>175</v>
      </c>
      <c r="Q248" s="2" t="s">
        <v>3549</v>
      </c>
      <c r="R248" s="11" t="s">
        <v>175</v>
      </c>
      <c r="AH248" s="11">
        <f>SUBTOTAL(3,_xlfn.SINGLE(tbl_code[RowId]))</f>
        <v>1</v>
      </c>
    </row>
    <row r="249" spans="10:34">
      <c r="J249" s="4">
        <v>239</v>
      </c>
      <c r="K249" s="21" t="str">
        <f>HYPERLINK("obsidian://open?vault=o2&amp;file=2024-02-01.md","2024-02-01")</f>
        <v>2024-02-01</v>
      </c>
      <c r="L249" s="2"/>
      <c r="M249" s="2" t="s">
        <v>3569</v>
      </c>
      <c r="N249" s="4">
        <v>1</v>
      </c>
      <c r="O249" s="2" t="s">
        <v>3616</v>
      </c>
      <c r="P249" s="11" t="s">
        <v>175</v>
      </c>
      <c r="AH249" s="11">
        <f>SUBTOTAL(3,_xlfn.SINGLE(tbl_code[RowId]))</f>
        <v>1</v>
      </c>
    </row>
    <row r="250" spans="10:34">
      <c r="J250" s="4">
        <v>240</v>
      </c>
      <c r="K250" s="21" t="str">
        <f>HYPERLINK("obsidian://open?vault=o2&amp;file=2024-02-06.md","2024-02-06")</f>
        <v>2024-02-06</v>
      </c>
      <c r="L250" s="2" t="s">
        <v>3319</v>
      </c>
      <c r="M250" s="2" t="s">
        <v>3320</v>
      </c>
      <c r="N250" s="4">
        <v>2</v>
      </c>
      <c r="O250" s="2" t="s">
        <v>3548</v>
      </c>
      <c r="P250" s="11" t="s">
        <v>175</v>
      </c>
      <c r="Q250" s="2" t="s">
        <v>3549</v>
      </c>
      <c r="R250" s="11" t="s">
        <v>175</v>
      </c>
      <c r="AH250" s="11">
        <f>SUBTOTAL(3,_xlfn.SINGLE(tbl_code[RowId]))</f>
        <v>1</v>
      </c>
    </row>
    <row r="251" spans="10:34">
      <c r="J251" s="4">
        <v>241</v>
      </c>
      <c r="K251" s="21" t="str">
        <f>HYPERLINK("obsidian://open?vault=o2&amp;file=2024-02-06.md","2024-02-06")</f>
        <v>2024-02-06</v>
      </c>
      <c r="L251" s="2"/>
      <c r="M251" s="2" t="s">
        <v>3569</v>
      </c>
      <c r="N251" s="4">
        <v>1</v>
      </c>
      <c r="O251" s="2" t="s">
        <v>3617</v>
      </c>
      <c r="P251" s="11" t="s">
        <v>175</v>
      </c>
      <c r="AH251" s="11">
        <f>SUBTOTAL(3,_xlfn.SINGLE(tbl_code[RowId]))</f>
        <v>1</v>
      </c>
    </row>
    <row r="252" spans="10:34">
      <c r="J252" s="4">
        <v>242</v>
      </c>
      <c r="K252" s="21" t="str">
        <f>HYPERLINK("obsidian://open?vault=o2&amp;file=2024-02-08.md","2024-02-08")</f>
        <v>2024-02-08</v>
      </c>
      <c r="L252" s="2" t="s">
        <v>3319</v>
      </c>
      <c r="M252" s="2" t="s">
        <v>3320</v>
      </c>
      <c r="N252" s="4">
        <v>2</v>
      </c>
      <c r="O252" s="2" t="s">
        <v>3548</v>
      </c>
      <c r="P252" s="11" t="s">
        <v>175</v>
      </c>
      <c r="Q252" s="2" t="s">
        <v>3549</v>
      </c>
      <c r="R252" s="11" t="s">
        <v>175</v>
      </c>
      <c r="AH252" s="11">
        <f>SUBTOTAL(3,_xlfn.SINGLE(tbl_code[RowId]))</f>
        <v>1</v>
      </c>
    </row>
    <row r="253" spans="10:34">
      <c r="J253" s="4">
        <v>243</v>
      </c>
      <c r="K253" s="21" t="str">
        <f>HYPERLINK("obsidian://open?vault=o2&amp;file=2024-02-08.md","2024-02-08")</f>
        <v>2024-02-08</v>
      </c>
      <c r="L253" s="2"/>
      <c r="M253" s="2" t="s">
        <v>3569</v>
      </c>
      <c r="N253" s="4">
        <v>1</v>
      </c>
      <c r="O253" s="2" t="s">
        <v>3618</v>
      </c>
      <c r="P253" s="11" t="s">
        <v>175</v>
      </c>
      <c r="AH253" s="11">
        <f>SUBTOTAL(3,_xlfn.SINGLE(tbl_code[RowId]))</f>
        <v>1</v>
      </c>
    </row>
    <row r="254" spans="10:34">
      <c r="J254" s="4">
        <v>244</v>
      </c>
      <c r="K254" s="21" t="str">
        <f>HYPERLINK("obsidian://open?vault=o2&amp;file=2024-02-09.md","2024-02-09")</f>
        <v>2024-02-09</v>
      </c>
      <c r="L254" s="2" t="s">
        <v>3319</v>
      </c>
      <c r="M254" s="2" t="s">
        <v>3320</v>
      </c>
      <c r="N254" s="4">
        <v>2</v>
      </c>
      <c r="O254" s="2" t="s">
        <v>3548</v>
      </c>
      <c r="P254" s="11" t="s">
        <v>175</v>
      </c>
      <c r="Q254" s="2" t="s">
        <v>3549</v>
      </c>
      <c r="R254" s="11" t="s">
        <v>175</v>
      </c>
      <c r="AH254" s="11">
        <f>SUBTOTAL(3,_xlfn.SINGLE(tbl_code[RowId]))</f>
        <v>1</v>
      </c>
    </row>
    <row r="255" spans="10:34">
      <c r="J255" s="4">
        <v>245</v>
      </c>
      <c r="K255" s="21" t="str">
        <f>HYPERLINK("obsidian://open?vault=o2&amp;file=2024-02-09.md","2024-02-09")</f>
        <v>2024-02-09</v>
      </c>
      <c r="L255" s="2"/>
      <c r="M255" s="2" t="s">
        <v>3569</v>
      </c>
      <c r="N255" s="4">
        <v>1</v>
      </c>
      <c r="O255" s="2" t="s">
        <v>3619</v>
      </c>
      <c r="P255" s="11" t="s">
        <v>175</v>
      </c>
      <c r="AH255" s="11">
        <f>SUBTOTAL(3,_xlfn.SINGLE(tbl_code[RowId]))</f>
        <v>1</v>
      </c>
    </row>
    <row r="256" spans="10:34">
      <c r="J256" s="4">
        <v>246</v>
      </c>
      <c r="K256" s="21" t="str">
        <f>HYPERLINK("obsidian://open?vault=o2&amp;file=2024-04-12.md","2024-04-12")</f>
        <v>2024-04-12</v>
      </c>
      <c r="L256" s="2" t="s">
        <v>3319</v>
      </c>
      <c r="M256" s="2" t="s">
        <v>3320</v>
      </c>
      <c r="N256" s="4">
        <v>2</v>
      </c>
      <c r="O256" s="2" t="s">
        <v>3548</v>
      </c>
      <c r="P256" s="11" t="s">
        <v>175</v>
      </c>
      <c r="Q256" s="2" t="s">
        <v>3549</v>
      </c>
      <c r="R256" s="11" t="s">
        <v>175</v>
      </c>
      <c r="AH256" s="11">
        <f>SUBTOTAL(3,_xlfn.SINGLE(tbl_code[RowId]))</f>
        <v>1</v>
      </c>
    </row>
    <row r="257" spans="10:34">
      <c r="J257" s="4">
        <v>247</v>
      </c>
      <c r="K257" s="21" t="str">
        <f>HYPERLINK("obsidian://open?vault=o2&amp;file=2024-04-12.md","2024-04-12")</f>
        <v>2024-04-12</v>
      </c>
      <c r="L257" s="2"/>
      <c r="M257" s="2" t="s">
        <v>3569</v>
      </c>
      <c r="N257" s="4">
        <v>1</v>
      </c>
      <c r="O257" s="2" t="s">
        <v>3620</v>
      </c>
      <c r="P257" s="11" t="s">
        <v>175</v>
      </c>
      <c r="AH257" s="11">
        <f>SUBTOTAL(3,_xlfn.SINGLE(tbl_code[RowId]))</f>
        <v>1</v>
      </c>
    </row>
    <row r="258" spans="10:34">
      <c r="J258" s="4">
        <v>248</v>
      </c>
      <c r="K258" s="21" t="str">
        <f>HYPERLINK("obsidian://open?vault=o2&amp;file=2024-05-21.md","2024-05-21")</f>
        <v>2024-05-21</v>
      </c>
      <c r="L258" s="2" t="s">
        <v>3319</v>
      </c>
      <c r="M258" s="2" t="s">
        <v>3320</v>
      </c>
      <c r="N258" s="4">
        <v>2</v>
      </c>
      <c r="O258" s="2" t="s">
        <v>3548</v>
      </c>
      <c r="P258" s="11" t="s">
        <v>175</v>
      </c>
      <c r="Q258" s="2" t="s">
        <v>3549</v>
      </c>
      <c r="R258" s="11" t="s">
        <v>175</v>
      </c>
      <c r="AH258" s="11">
        <f>SUBTOTAL(3,_xlfn.SINGLE(tbl_code[RowId]))</f>
        <v>1</v>
      </c>
    </row>
    <row r="259" spans="10:34">
      <c r="J259" s="4">
        <v>249</v>
      </c>
      <c r="K259" s="21" t="str">
        <f>HYPERLINK("obsidian://open?vault=o2&amp;file=2024-05-21.md","2024-05-21")</f>
        <v>2024-05-21</v>
      </c>
      <c r="L259" s="2"/>
      <c r="M259" s="2" t="s">
        <v>3569</v>
      </c>
      <c r="N259" s="4">
        <v>1</v>
      </c>
      <c r="O259" s="2" t="s">
        <v>3621</v>
      </c>
      <c r="P259" s="11" t="s">
        <v>175</v>
      </c>
      <c r="AH259" s="11">
        <f>SUBTOTAL(3,_xlfn.SINGLE(tbl_code[RowId]))</f>
        <v>1</v>
      </c>
    </row>
    <row r="260" spans="10:34">
      <c r="J260" s="4">
        <v>250</v>
      </c>
      <c r="K260" s="21" t="str">
        <f>HYPERLINK("obsidian://open?vault=o2&amp;file=2024-07-22.md","2024-07-22")</f>
        <v>2024-07-22</v>
      </c>
      <c r="L260" s="2" t="s">
        <v>3319</v>
      </c>
      <c r="M260" s="2" t="s">
        <v>3320</v>
      </c>
      <c r="N260" s="4">
        <v>2</v>
      </c>
      <c r="O260" s="2" t="s">
        <v>3622</v>
      </c>
      <c r="P260" s="11" t="s">
        <v>175</v>
      </c>
      <c r="Q260" s="2" t="s">
        <v>3549</v>
      </c>
      <c r="R260" s="11" t="s">
        <v>175</v>
      </c>
      <c r="AH260" s="11">
        <f>SUBTOTAL(3,_xlfn.SINGLE(tbl_code[RowId]))</f>
        <v>1</v>
      </c>
    </row>
    <row r="261" spans="10:34">
      <c r="J261" s="4">
        <v>251</v>
      </c>
      <c r="K261" s="21" t="str">
        <f>HYPERLINK("obsidian://open?vault=o2&amp;file=2024-07-22.md","2024-07-22")</f>
        <v>2024-07-22</v>
      </c>
      <c r="L261" s="2"/>
      <c r="M261" s="2" t="s">
        <v>3569</v>
      </c>
      <c r="N261" s="4">
        <v>1</v>
      </c>
      <c r="O261" s="2" t="s">
        <v>3623</v>
      </c>
      <c r="P261" s="11" t="s">
        <v>175</v>
      </c>
      <c r="AH261" s="11">
        <f>SUBTOTAL(3,_xlfn.SINGLE(tbl_code[RowId]))</f>
        <v>1</v>
      </c>
    </row>
    <row r="262" spans="10:34">
      <c r="J262" s="4">
        <v>252</v>
      </c>
      <c r="K262" s="21" t="str">
        <f>HYPERLINK("obsidian://open?vault=o2&amp;file=2024-07-22.md","2024-07-22")</f>
        <v>2024-07-22</v>
      </c>
      <c r="L262" s="2" t="s">
        <v>3624</v>
      </c>
      <c r="M262" s="2" t="s">
        <v>3625</v>
      </c>
      <c r="N262" s="4">
        <v>3</v>
      </c>
      <c r="O262" s="2" t="s">
        <v>3626</v>
      </c>
      <c r="P262" s="11" t="s">
        <v>175</v>
      </c>
      <c r="Q262" s="2" t="s">
        <v>3627</v>
      </c>
      <c r="R262" s="11" t="s">
        <v>175</v>
      </c>
      <c r="S262" s="2" t="s">
        <v>3628</v>
      </c>
      <c r="T262" s="11" t="s">
        <v>175</v>
      </c>
      <c r="AH262" s="11">
        <f>SUBTOTAL(3,_xlfn.SINGLE(tbl_code[RowId]))</f>
        <v>1</v>
      </c>
    </row>
    <row r="263" spans="10:34">
      <c r="J263" s="4">
        <v>253</v>
      </c>
      <c r="K263" s="21" t="str">
        <f>HYPERLINK("obsidian://open?vault=o2&amp;file=2024-09-01.md","2024-09-01")</f>
        <v>2024-09-01</v>
      </c>
      <c r="L263" s="2" t="s">
        <v>3319</v>
      </c>
      <c r="M263" s="2" t="s">
        <v>3320</v>
      </c>
      <c r="N263" s="4">
        <v>2</v>
      </c>
      <c r="O263" s="2" t="s">
        <v>3622</v>
      </c>
      <c r="P263" s="11" t="s">
        <v>175</v>
      </c>
      <c r="Q263" s="2" t="s">
        <v>3549</v>
      </c>
      <c r="R263" s="11" t="s">
        <v>175</v>
      </c>
      <c r="AH263" s="11">
        <f>SUBTOTAL(3,_xlfn.SINGLE(tbl_code[RowId]))</f>
        <v>1</v>
      </c>
    </row>
    <row r="264" spans="10:34">
      <c r="J264" s="4">
        <v>254</v>
      </c>
      <c r="K264" s="21" t="str">
        <f>HYPERLINK("obsidian://open?vault=o2&amp;file=2024-09-01.md","2024-09-01")</f>
        <v>2024-09-01</v>
      </c>
      <c r="L264" s="2"/>
      <c r="M264" s="2" t="s">
        <v>3569</v>
      </c>
      <c r="N264" s="4">
        <v>1</v>
      </c>
      <c r="O264" s="2" t="s">
        <v>3629</v>
      </c>
      <c r="P264" s="11" t="s">
        <v>175</v>
      </c>
      <c r="AH264" s="11">
        <f>SUBTOTAL(3,_xlfn.SINGLE(tbl_code[RowId]))</f>
        <v>1</v>
      </c>
    </row>
    <row r="265" spans="10:34">
      <c r="J265" s="4">
        <v>255</v>
      </c>
      <c r="K265" s="21" t="str">
        <f>HYPERLINK("obsidian://open?vault=o2&amp;file=2024-09-01.md","2024-09-01")</f>
        <v>2024-09-01</v>
      </c>
      <c r="L265" s="2" t="s">
        <v>3624</v>
      </c>
      <c r="M265" s="2" t="s">
        <v>3625</v>
      </c>
      <c r="N265" s="4">
        <v>3</v>
      </c>
      <c r="O265" s="2" t="s">
        <v>3626</v>
      </c>
      <c r="P265" s="11" t="s">
        <v>175</v>
      </c>
      <c r="Q265" s="2" t="s">
        <v>3627</v>
      </c>
      <c r="R265" s="11" t="s">
        <v>175</v>
      </c>
      <c r="S265" s="2" t="s">
        <v>3628</v>
      </c>
      <c r="T265" s="11" t="s">
        <v>175</v>
      </c>
      <c r="AH265" s="11">
        <f>SUBTOTAL(3,_xlfn.SINGLE(tbl_code[RowId]))</f>
        <v>1</v>
      </c>
    </row>
    <row r="266" spans="10:34">
      <c r="J266" s="4">
        <v>256</v>
      </c>
      <c r="K266" s="21" t="str">
        <f>HYPERLINK("obsidian://open?vault=o2&amp;file=2024-09-05.md","2024-09-05")</f>
        <v>2024-09-05</v>
      </c>
      <c r="L266" s="2" t="s">
        <v>3319</v>
      </c>
      <c r="M266" s="2" t="s">
        <v>3320</v>
      </c>
      <c r="N266" s="4">
        <v>2</v>
      </c>
      <c r="O266" s="2" t="s">
        <v>3622</v>
      </c>
      <c r="P266" s="11" t="s">
        <v>175</v>
      </c>
      <c r="Q266" s="2" t="s">
        <v>3549</v>
      </c>
      <c r="R266" s="11" t="s">
        <v>175</v>
      </c>
      <c r="AH266" s="11">
        <f>SUBTOTAL(3,_xlfn.SINGLE(tbl_code[RowId]))</f>
        <v>1</v>
      </c>
    </row>
    <row r="267" spans="10:34">
      <c r="J267" s="4">
        <v>257</v>
      </c>
      <c r="K267" s="21" t="str">
        <f>HYPERLINK("obsidian://open?vault=o2&amp;file=2024-09-05.md","2024-09-05")</f>
        <v>2024-09-05</v>
      </c>
      <c r="L267" s="2"/>
      <c r="M267" s="2" t="s">
        <v>3569</v>
      </c>
      <c r="N267" s="4">
        <v>1</v>
      </c>
      <c r="O267" s="2" t="s">
        <v>3630</v>
      </c>
      <c r="P267" s="11" t="s">
        <v>175</v>
      </c>
      <c r="AH267" s="11">
        <f>SUBTOTAL(3,_xlfn.SINGLE(tbl_code[RowId]))</f>
        <v>1</v>
      </c>
    </row>
    <row r="268" spans="10:34">
      <c r="J268" s="4">
        <v>258</v>
      </c>
      <c r="K268" s="21" t="str">
        <f>HYPERLINK("obsidian://open?vault=o2&amp;file=2024-09-06.md","2024-09-06")</f>
        <v>2024-09-06</v>
      </c>
      <c r="L268" s="2" t="s">
        <v>3319</v>
      </c>
      <c r="M268" s="2" t="s">
        <v>3320</v>
      </c>
      <c r="N268" s="4">
        <v>2</v>
      </c>
      <c r="O268" s="2" t="s">
        <v>3548</v>
      </c>
      <c r="P268" s="11" t="s">
        <v>175</v>
      </c>
      <c r="Q268" s="2" t="s">
        <v>3549</v>
      </c>
      <c r="R268" s="11" t="s">
        <v>175</v>
      </c>
      <c r="AH268" s="11">
        <f>SUBTOTAL(3,_xlfn.SINGLE(tbl_code[RowId]))</f>
        <v>1</v>
      </c>
    </row>
    <row r="269" spans="10:34">
      <c r="J269" s="4">
        <v>259</v>
      </c>
      <c r="K269" s="21" t="str">
        <f>HYPERLINK("obsidian://open?vault=o2&amp;file=2024-09-06.md","2024-09-06")</f>
        <v>2024-09-06</v>
      </c>
      <c r="L269" s="2"/>
      <c r="M269" s="2" t="s">
        <v>3569</v>
      </c>
      <c r="N269" s="4">
        <v>1</v>
      </c>
      <c r="O269" s="2" t="s">
        <v>3631</v>
      </c>
      <c r="P269" s="11" t="s">
        <v>175</v>
      </c>
      <c r="AH269" s="11">
        <f>SUBTOTAL(3,_xlfn.SINGLE(tbl_code[RowId]))</f>
        <v>1</v>
      </c>
    </row>
    <row r="270" spans="10:34">
      <c r="J270" s="4">
        <v>260</v>
      </c>
      <c r="K270" s="21" t="str">
        <f>HYPERLINK("obsidian://open?vault=o2&amp;file=2024-09-08.md","2024-09-08")</f>
        <v>2024-09-08</v>
      </c>
      <c r="L270" s="2" t="s">
        <v>3319</v>
      </c>
      <c r="M270" s="2" t="s">
        <v>3320</v>
      </c>
      <c r="N270" s="4">
        <v>2</v>
      </c>
      <c r="O270" s="2" t="s">
        <v>3548</v>
      </c>
      <c r="P270" s="11" t="s">
        <v>175</v>
      </c>
      <c r="Q270" s="2" t="s">
        <v>3549</v>
      </c>
      <c r="R270" s="11" t="s">
        <v>175</v>
      </c>
      <c r="AH270" s="11">
        <f>SUBTOTAL(3,_xlfn.SINGLE(tbl_code[RowId]))</f>
        <v>1</v>
      </c>
    </row>
    <row r="271" spans="10:34">
      <c r="J271" s="4">
        <v>261</v>
      </c>
      <c r="K271" s="21" t="str">
        <f>HYPERLINK("obsidian://open?vault=o2&amp;file=2024-09-08.md","2024-09-08")</f>
        <v>2024-09-08</v>
      </c>
      <c r="L271" s="2"/>
      <c r="M271" s="2" t="s">
        <v>3569</v>
      </c>
      <c r="N271" s="4">
        <v>1</v>
      </c>
      <c r="O271" s="2" t="s">
        <v>3632</v>
      </c>
      <c r="P271" s="11" t="s">
        <v>175</v>
      </c>
      <c r="AH271" s="11">
        <f>SUBTOTAL(3,_xlfn.SINGLE(tbl_code[RowId]))</f>
        <v>1</v>
      </c>
    </row>
    <row r="272" spans="10:34">
      <c r="J272" s="4">
        <v>262</v>
      </c>
      <c r="K272" s="21" t="str">
        <f>HYPERLINK("obsidian://open?vault=o2&amp;file=2024-09-09.md","2024-09-09")</f>
        <v>2024-09-09</v>
      </c>
      <c r="L272" s="2" t="s">
        <v>3319</v>
      </c>
      <c r="M272" s="2" t="s">
        <v>3320</v>
      </c>
      <c r="N272" s="4">
        <v>2</v>
      </c>
      <c r="O272" s="2" t="s">
        <v>3548</v>
      </c>
      <c r="P272" s="11" t="s">
        <v>175</v>
      </c>
      <c r="Q272" s="2" t="s">
        <v>3549</v>
      </c>
      <c r="R272" s="11" t="s">
        <v>175</v>
      </c>
      <c r="AH272" s="11">
        <f>SUBTOTAL(3,_xlfn.SINGLE(tbl_code[RowId]))</f>
        <v>1</v>
      </c>
    </row>
    <row r="273" spans="10:34">
      <c r="J273" s="4">
        <v>263</v>
      </c>
      <c r="K273" s="21" t="str">
        <f>HYPERLINK("obsidian://open?vault=o2&amp;file=2024-09-09.md","2024-09-09")</f>
        <v>2024-09-09</v>
      </c>
      <c r="L273" s="2"/>
      <c r="M273" s="2" t="s">
        <v>3569</v>
      </c>
      <c r="N273" s="4">
        <v>1</v>
      </c>
      <c r="O273" s="2" t="s">
        <v>3633</v>
      </c>
      <c r="P273" s="11" t="s">
        <v>175</v>
      </c>
      <c r="AH273" s="11">
        <f>SUBTOTAL(3,_xlfn.SINGLE(tbl_code[RowId]))</f>
        <v>1</v>
      </c>
    </row>
    <row r="274" spans="10:34">
      <c r="J274" s="4">
        <v>264</v>
      </c>
      <c r="K274" s="21" t="str">
        <f>HYPERLINK("obsidian://open?vault=o2&amp;file=2024-09-10.md","2024-09-10")</f>
        <v>2024-09-10</v>
      </c>
      <c r="L274" s="2" t="s">
        <v>3319</v>
      </c>
      <c r="M274" s="2" t="s">
        <v>3320</v>
      </c>
      <c r="N274" s="4">
        <v>2</v>
      </c>
      <c r="O274" s="2" t="s">
        <v>3548</v>
      </c>
      <c r="P274" s="11" t="s">
        <v>175</v>
      </c>
      <c r="Q274" s="2" t="s">
        <v>3549</v>
      </c>
      <c r="R274" s="11" t="s">
        <v>175</v>
      </c>
      <c r="AH274" s="11">
        <f>SUBTOTAL(3,_xlfn.SINGLE(tbl_code[RowId]))</f>
        <v>1</v>
      </c>
    </row>
    <row r="275" spans="10:34">
      <c r="J275" s="4">
        <v>265</v>
      </c>
      <c r="K275" s="21" t="str">
        <f>HYPERLINK("obsidian://open?vault=o2&amp;file=2024-09-10.md","2024-09-10")</f>
        <v>2024-09-10</v>
      </c>
      <c r="L275" s="2"/>
      <c r="M275" s="2" t="s">
        <v>3569</v>
      </c>
      <c r="N275" s="4">
        <v>1</v>
      </c>
      <c r="O275" s="2" t="s">
        <v>3634</v>
      </c>
      <c r="P275" s="11" t="s">
        <v>175</v>
      </c>
      <c r="AH275" s="11">
        <f>SUBTOTAL(3,_xlfn.SINGLE(tbl_code[RowId]))</f>
        <v>1</v>
      </c>
    </row>
    <row r="276" spans="10:34">
      <c r="J276" s="4">
        <v>266</v>
      </c>
      <c r="K276" s="21" t="str">
        <f>HYPERLINK("obsidian://open?vault=o2&amp;file=2024-09-11.md","2024-09-11")</f>
        <v>2024-09-11</v>
      </c>
      <c r="L276" s="2" t="s">
        <v>3319</v>
      </c>
      <c r="M276" s="2" t="s">
        <v>3320</v>
      </c>
      <c r="N276" s="4">
        <v>2</v>
      </c>
      <c r="O276" s="2" t="s">
        <v>3548</v>
      </c>
      <c r="P276" s="11" t="s">
        <v>175</v>
      </c>
      <c r="Q276" s="2" t="s">
        <v>3549</v>
      </c>
      <c r="R276" s="11" t="s">
        <v>175</v>
      </c>
      <c r="AH276" s="11">
        <f>SUBTOTAL(3,_xlfn.SINGLE(tbl_code[RowId]))</f>
        <v>1</v>
      </c>
    </row>
    <row r="277" spans="10:34">
      <c r="J277" s="4">
        <v>267</v>
      </c>
      <c r="K277" s="21" t="str">
        <f>HYPERLINK("obsidian://open?vault=o2&amp;file=2024-09-11.md","2024-09-11")</f>
        <v>2024-09-11</v>
      </c>
      <c r="L277" s="2"/>
      <c r="M277" s="2" t="s">
        <v>3569</v>
      </c>
      <c r="N277" s="4">
        <v>1</v>
      </c>
      <c r="O277" s="2" t="s">
        <v>3635</v>
      </c>
      <c r="P277" s="11" t="s">
        <v>175</v>
      </c>
      <c r="AH277" s="11">
        <f>SUBTOTAL(3,_xlfn.SINGLE(tbl_code[RowId]))</f>
        <v>1</v>
      </c>
    </row>
    <row r="278" spans="10:34">
      <c r="J278" s="4">
        <v>268</v>
      </c>
      <c r="K278" s="21" t="str">
        <f>HYPERLINK("obsidian://open?vault=o2&amp;file=2024-09-12.md","2024-09-12")</f>
        <v>2024-09-12</v>
      </c>
      <c r="L278" s="2" t="s">
        <v>3319</v>
      </c>
      <c r="M278" s="2" t="s">
        <v>3320</v>
      </c>
      <c r="N278" s="4">
        <v>2</v>
      </c>
      <c r="O278" s="2" t="s">
        <v>3548</v>
      </c>
      <c r="P278" s="11" t="s">
        <v>175</v>
      </c>
      <c r="Q278" s="2" t="s">
        <v>3549</v>
      </c>
      <c r="R278" s="11" t="s">
        <v>175</v>
      </c>
      <c r="AH278" s="11">
        <f>SUBTOTAL(3,_xlfn.SINGLE(tbl_code[RowId]))</f>
        <v>1</v>
      </c>
    </row>
    <row r="279" spans="10:34">
      <c r="J279" s="4">
        <v>269</v>
      </c>
      <c r="K279" s="21" t="str">
        <f>HYPERLINK("obsidian://open?vault=o2&amp;file=2024-09-12.md","2024-09-12")</f>
        <v>2024-09-12</v>
      </c>
      <c r="L279" s="2"/>
      <c r="M279" s="2" t="s">
        <v>3569</v>
      </c>
      <c r="N279" s="4">
        <v>1</v>
      </c>
      <c r="O279" s="2" t="s">
        <v>3636</v>
      </c>
      <c r="P279" s="11" t="s">
        <v>175</v>
      </c>
      <c r="AH279" s="11">
        <f>SUBTOTAL(3,_xlfn.SINGLE(tbl_code[RowId]))</f>
        <v>1</v>
      </c>
    </row>
    <row r="280" spans="10:34">
      <c r="J280" s="4">
        <v>270</v>
      </c>
      <c r="K280" s="21" t="str">
        <f>HYPERLINK("obsidian://open?vault=o2&amp;file=2024-09-13.md","2024-09-13")</f>
        <v>2024-09-13</v>
      </c>
      <c r="L280" s="2" t="s">
        <v>3319</v>
      </c>
      <c r="M280" s="2" t="s">
        <v>3320</v>
      </c>
      <c r="N280" s="4">
        <v>2</v>
      </c>
      <c r="O280" s="2" t="s">
        <v>3548</v>
      </c>
      <c r="P280" s="11" t="s">
        <v>175</v>
      </c>
      <c r="Q280" s="2" t="s">
        <v>3549</v>
      </c>
      <c r="R280" s="11" t="s">
        <v>175</v>
      </c>
      <c r="AH280" s="11">
        <f>SUBTOTAL(3,_xlfn.SINGLE(tbl_code[RowId]))</f>
        <v>1</v>
      </c>
    </row>
    <row r="281" spans="10:34">
      <c r="J281" s="4">
        <v>271</v>
      </c>
      <c r="K281" s="21" t="str">
        <f>HYPERLINK("obsidian://open?vault=o2&amp;file=2024-09-13.md","2024-09-13")</f>
        <v>2024-09-13</v>
      </c>
      <c r="L281" s="2"/>
      <c r="M281" s="2" t="s">
        <v>3569</v>
      </c>
      <c r="N281" s="4">
        <v>1</v>
      </c>
      <c r="O281" s="2" t="s">
        <v>3637</v>
      </c>
      <c r="P281" s="11" t="s">
        <v>175</v>
      </c>
      <c r="AH281" s="11">
        <f>SUBTOTAL(3,_xlfn.SINGLE(tbl_code[RowId]))</f>
        <v>1</v>
      </c>
    </row>
    <row r="282" spans="10:34">
      <c r="J282" s="4">
        <v>272</v>
      </c>
      <c r="K282" s="21" t="str">
        <f>HYPERLINK("obsidian://open?vault=o2&amp;file=2024-09-15.md","2024-09-15")</f>
        <v>2024-09-15</v>
      </c>
      <c r="L282" s="2" t="s">
        <v>3319</v>
      </c>
      <c r="M282" s="2" t="s">
        <v>3320</v>
      </c>
      <c r="N282" s="4">
        <v>2</v>
      </c>
      <c r="O282" s="2" t="s">
        <v>3548</v>
      </c>
      <c r="P282" s="11" t="s">
        <v>175</v>
      </c>
      <c r="Q282" s="2" t="s">
        <v>3549</v>
      </c>
      <c r="R282" s="11" t="s">
        <v>175</v>
      </c>
      <c r="AH282" s="11">
        <f>SUBTOTAL(3,_xlfn.SINGLE(tbl_code[RowId]))</f>
        <v>1</v>
      </c>
    </row>
    <row r="283" spans="10:34">
      <c r="J283" s="4">
        <v>273</v>
      </c>
      <c r="K283" s="21" t="str">
        <f>HYPERLINK("obsidian://open?vault=o2&amp;file=2024-09-15.md","2024-09-15")</f>
        <v>2024-09-15</v>
      </c>
      <c r="L283" s="2"/>
      <c r="M283" s="2" t="s">
        <v>3569</v>
      </c>
      <c r="N283" s="4">
        <v>1</v>
      </c>
      <c r="O283" s="2" t="s">
        <v>3638</v>
      </c>
      <c r="P283" s="11" t="s">
        <v>175</v>
      </c>
      <c r="AH283" s="11">
        <f>SUBTOTAL(3,_xlfn.SINGLE(tbl_code[RowId]))</f>
        <v>1</v>
      </c>
    </row>
    <row r="284" spans="10:34">
      <c r="J284" s="4">
        <v>274</v>
      </c>
      <c r="K284" s="21" t="str">
        <f>HYPERLINK("obsidian://open?vault=o2&amp;file=2024-09-16.md","2024-09-16")</f>
        <v>2024-09-16</v>
      </c>
      <c r="L284" s="2" t="s">
        <v>3319</v>
      </c>
      <c r="M284" s="2" t="s">
        <v>3320</v>
      </c>
      <c r="N284" s="4">
        <v>2</v>
      </c>
      <c r="O284" s="2" t="s">
        <v>3548</v>
      </c>
      <c r="P284" s="11" t="s">
        <v>175</v>
      </c>
      <c r="Q284" s="2" t="s">
        <v>3549</v>
      </c>
      <c r="R284" s="11" t="s">
        <v>175</v>
      </c>
      <c r="AH284" s="11">
        <f>SUBTOTAL(3,_xlfn.SINGLE(tbl_code[RowId]))</f>
        <v>1</v>
      </c>
    </row>
    <row r="285" spans="10:34">
      <c r="J285" s="4">
        <v>275</v>
      </c>
      <c r="K285" s="21" t="str">
        <f>HYPERLINK("obsidian://open?vault=o2&amp;file=2024-09-16.md","2024-09-16")</f>
        <v>2024-09-16</v>
      </c>
      <c r="L285" s="2"/>
      <c r="M285" s="2" t="s">
        <v>3569</v>
      </c>
      <c r="N285" s="4">
        <v>1</v>
      </c>
      <c r="O285" s="2" t="s">
        <v>3639</v>
      </c>
      <c r="P285" s="11" t="s">
        <v>175</v>
      </c>
      <c r="AH285" s="11">
        <f>SUBTOTAL(3,_xlfn.SINGLE(tbl_code[RowId]))</f>
        <v>1</v>
      </c>
    </row>
    <row r="286" spans="10:34">
      <c r="J286" s="4">
        <v>276</v>
      </c>
      <c r="K286" s="21" t="str">
        <f>HYPERLINK("obsidian://open?vault=o2&amp;file=2024-09-17.md","2024-09-17")</f>
        <v>2024-09-17</v>
      </c>
      <c r="L286" s="2" t="s">
        <v>3319</v>
      </c>
      <c r="M286" s="2" t="s">
        <v>3320</v>
      </c>
      <c r="N286" s="4">
        <v>2</v>
      </c>
      <c r="O286" s="2" t="s">
        <v>3548</v>
      </c>
      <c r="P286" s="11" t="s">
        <v>175</v>
      </c>
      <c r="Q286" s="2" t="s">
        <v>3549</v>
      </c>
      <c r="R286" s="11" t="s">
        <v>175</v>
      </c>
      <c r="AH286" s="11">
        <f>SUBTOTAL(3,_xlfn.SINGLE(tbl_code[RowId]))</f>
        <v>1</v>
      </c>
    </row>
    <row r="287" spans="10:34">
      <c r="J287" s="4">
        <v>277</v>
      </c>
      <c r="K287" s="21" t="str">
        <f>HYPERLINK("obsidian://open?vault=o2&amp;file=2024-09-17.md","2024-09-17")</f>
        <v>2024-09-17</v>
      </c>
      <c r="L287" s="2"/>
      <c r="M287" s="2" t="s">
        <v>3569</v>
      </c>
      <c r="N287" s="4">
        <v>1</v>
      </c>
      <c r="O287" s="2" t="s">
        <v>3640</v>
      </c>
      <c r="P287" s="11" t="s">
        <v>175</v>
      </c>
      <c r="AH287" s="11">
        <f>SUBTOTAL(3,_xlfn.SINGLE(tbl_code[RowId]))</f>
        <v>1</v>
      </c>
    </row>
    <row r="288" spans="10:34">
      <c r="J288" s="4">
        <v>278</v>
      </c>
      <c r="K288" s="21" t="str">
        <f>HYPERLINK("obsidian://open?vault=o2&amp;file=2024-09-18.md","2024-09-18")</f>
        <v>2024-09-18</v>
      </c>
      <c r="L288" s="2" t="s">
        <v>3319</v>
      </c>
      <c r="M288" s="2" t="s">
        <v>3320</v>
      </c>
      <c r="N288" s="4">
        <v>2</v>
      </c>
      <c r="O288" s="2" t="s">
        <v>3641</v>
      </c>
      <c r="P288" s="11" t="s">
        <v>175</v>
      </c>
      <c r="Q288" s="2" t="s">
        <v>3549</v>
      </c>
      <c r="R288" s="11" t="s">
        <v>175</v>
      </c>
      <c r="AH288" s="11">
        <f>SUBTOTAL(3,_xlfn.SINGLE(tbl_code[RowId]))</f>
        <v>1</v>
      </c>
    </row>
    <row r="289" spans="10:34">
      <c r="J289" s="4">
        <v>279</v>
      </c>
      <c r="K289" s="21" t="str">
        <f>HYPERLINK("obsidian://open?vault=o2&amp;file=2024-09-18.md","2024-09-18")</f>
        <v>2024-09-18</v>
      </c>
      <c r="L289" s="2"/>
      <c r="M289" s="2" t="s">
        <v>3569</v>
      </c>
      <c r="N289" s="4">
        <v>1</v>
      </c>
      <c r="O289" s="2" t="s">
        <v>3642</v>
      </c>
      <c r="P289" s="11" t="s">
        <v>175</v>
      </c>
      <c r="AH289" s="11">
        <f>SUBTOTAL(3,_xlfn.SINGLE(tbl_code[RowId]))</f>
        <v>1</v>
      </c>
    </row>
    <row r="290" spans="10:34">
      <c r="J290" s="4">
        <v>280</v>
      </c>
      <c r="K290" s="21" t="str">
        <f>HYPERLINK("obsidian://open?vault=o2&amp;file=2024-09-19.md","2024-09-19")</f>
        <v>2024-09-19</v>
      </c>
      <c r="L290" s="2" t="s">
        <v>3319</v>
      </c>
      <c r="M290" s="2" t="s">
        <v>3320</v>
      </c>
      <c r="N290" s="4">
        <v>2</v>
      </c>
      <c r="O290" s="2" t="s">
        <v>3548</v>
      </c>
      <c r="P290" s="11" t="s">
        <v>175</v>
      </c>
      <c r="Q290" s="2" t="s">
        <v>3549</v>
      </c>
      <c r="R290" s="11" t="s">
        <v>175</v>
      </c>
      <c r="AH290" s="11">
        <f>SUBTOTAL(3,_xlfn.SINGLE(tbl_code[RowId]))</f>
        <v>1</v>
      </c>
    </row>
    <row r="291" spans="10:34">
      <c r="J291" s="4">
        <v>281</v>
      </c>
      <c r="K291" s="21" t="str">
        <f>HYPERLINK("obsidian://open?vault=o2&amp;file=2024-09-19.md","2024-09-19")</f>
        <v>2024-09-19</v>
      </c>
      <c r="L291" s="2"/>
      <c r="M291" s="2" t="s">
        <v>3569</v>
      </c>
      <c r="N291" s="4">
        <v>1</v>
      </c>
      <c r="O291" s="2" t="s">
        <v>3643</v>
      </c>
      <c r="P291" s="11" t="s">
        <v>175</v>
      </c>
      <c r="AH291" s="11">
        <f>SUBTOTAL(3,_xlfn.SINGLE(tbl_code[RowId]))</f>
        <v>1</v>
      </c>
    </row>
    <row r="292" spans="10:34">
      <c r="J292" s="4">
        <v>282</v>
      </c>
      <c r="K292" s="21" t="str">
        <f>HYPERLINK("obsidian://open?vault=o2&amp;file=2024-09-20.md","2024-09-20")</f>
        <v>2024-09-20</v>
      </c>
      <c r="L292" s="2" t="s">
        <v>3319</v>
      </c>
      <c r="M292" s="2" t="s">
        <v>3320</v>
      </c>
      <c r="N292" s="4">
        <v>2</v>
      </c>
      <c r="O292" s="2" t="s">
        <v>3548</v>
      </c>
      <c r="P292" s="11" t="s">
        <v>175</v>
      </c>
      <c r="Q292" s="2" t="s">
        <v>3549</v>
      </c>
      <c r="R292" s="11" t="s">
        <v>175</v>
      </c>
      <c r="AH292" s="11">
        <f>SUBTOTAL(3,_xlfn.SINGLE(tbl_code[RowId]))</f>
        <v>1</v>
      </c>
    </row>
    <row r="293" spans="10:34">
      <c r="J293" s="4">
        <v>283</v>
      </c>
      <c r="K293" s="21" t="str">
        <f>HYPERLINK("obsidian://open?vault=o2&amp;file=2024-09-20.md","2024-09-20")</f>
        <v>2024-09-20</v>
      </c>
      <c r="L293" s="2"/>
      <c r="M293" s="2" t="s">
        <v>3569</v>
      </c>
      <c r="N293" s="4">
        <v>1</v>
      </c>
      <c r="O293" s="2" t="s">
        <v>3644</v>
      </c>
      <c r="P293" s="11" t="s">
        <v>175</v>
      </c>
      <c r="AH293" s="11">
        <f>SUBTOTAL(3,_xlfn.SINGLE(tbl_code[RowId]))</f>
        <v>1</v>
      </c>
    </row>
    <row r="294" spans="10:34">
      <c r="J294" s="4">
        <v>284</v>
      </c>
      <c r="K294" s="21" t="str">
        <f>HYPERLINK("obsidian://open?vault=o2&amp;file=2024-09-21.md","2024-09-21")</f>
        <v>2024-09-21</v>
      </c>
      <c r="L294" s="2" t="s">
        <v>3319</v>
      </c>
      <c r="M294" s="2" t="s">
        <v>3320</v>
      </c>
      <c r="N294" s="4">
        <v>2</v>
      </c>
      <c r="O294" s="2" t="s">
        <v>3548</v>
      </c>
      <c r="P294" s="11" t="s">
        <v>175</v>
      </c>
      <c r="Q294" s="2" t="s">
        <v>3549</v>
      </c>
      <c r="R294" s="11" t="s">
        <v>175</v>
      </c>
      <c r="AH294" s="11">
        <f>SUBTOTAL(3,_xlfn.SINGLE(tbl_code[RowId]))</f>
        <v>1</v>
      </c>
    </row>
    <row r="295" spans="10:34">
      <c r="J295" s="4">
        <v>285</v>
      </c>
      <c r="K295" s="21" t="str">
        <f>HYPERLINK("obsidian://open?vault=o2&amp;file=2024-09-21.md","2024-09-21")</f>
        <v>2024-09-21</v>
      </c>
      <c r="L295" s="2"/>
      <c r="M295" s="2" t="s">
        <v>3569</v>
      </c>
      <c r="N295" s="4">
        <v>1</v>
      </c>
      <c r="O295" s="2" t="s">
        <v>3645</v>
      </c>
      <c r="P295" s="11" t="s">
        <v>175</v>
      </c>
      <c r="AH295" s="11">
        <f>SUBTOTAL(3,_xlfn.SINGLE(tbl_code[RowId]))</f>
        <v>1</v>
      </c>
    </row>
    <row r="296" spans="10:34">
      <c r="J296" s="4">
        <v>286</v>
      </c>
      <c r="K296" s="21" t="str">
        <f>HYPERLINK("obsidian://open?vault=o2&amp;file=2024-09-22.md","2024-09-22")</f>
        <v>2024-09-22</v>
      </c>
      <c r="L296" s="2" t="s">
        <v>3319</v>
      </c>
      <c r="M296" s="2" t="s">
        <v>3320</v>
      </c>
      <c r="N296" s="4">
        <v>2</v>
      </c>
      <c r="O296" s="2" t="s">
        <v>3548</v>
      </c>
      <c r="P296" s="11" t="s">
        <v>175</v>
      </c>
      <c r="Q296" s="2" t="s">
        <v>3549</v>
      </c>
      <c r="R296" s="11" t="s">
        <v>175</v>
      </c>
      <c r="AH296" s="11">
        <f>SUBTOTAL(3,_xlfn.SINGLE(tbl_code[RowId]))</f>
        <v>1</v>
      </c>
    </row>
    <row r="297" spans="10:34">
      <c r="J297" s="4">
        <v>287</v>
      </c>
      <c r="K297" s="21" t="str">
        <f>HYPERLINK("obsidian://open?vault=o2&amp;file=2024-09-22.md","2024-09-22")</f>
        <v>2024-09-22</v>
      </c>
      <c r="L297" s="2"/>
      <c r="M297" s="2" t="s">
        <v>3569</v>
      </c>
      <c r="N297" s="4">
        <v>1</v>
      </c>
      <c r="O297" s="2" t="s">
        <v>3646</v>
      </c>
      <c r="P297" s="11" t="s">
        <v>175</v>
      </c>
      <c r="AH297" s="11">
        <f>SUBTOTAL(3,_xlfn.SINGLE(tbl_code[RowId]))</f>
        <v>1</v>
      </c>
    </row>
    <row r="298" spans="10:34">
      <c r="J298" s="4">
        <v>288</v>
      </c>
      <c r="K298" s="21" t="str">
        <f>HYPERLINK("obsidian://open?vault=o2&amp;file=2024-09-23.md","2024-09-23")</f>
        <v>2024-09-23</v>
      </c>
      <c r="L298" s="2" t="s">
        <v>3319</v>
      </c>
      <c r="M298" s="2" t="s">
        <v>3320</v>
      </c>
      <c r="N298" s="4">
        <v>2</v>
      </c>
      <c r="O298" s="2" t="s">
        <v>3548</v>
      </c>
      <c r="P298" s="11" t="s">
        <v>175</v>
      </c>
      <c r="Q298" s="2" t="s">
        <v>3549</v>
      </c>
      <c r="R298" s="11" t="s">
        <v>175</v>
      </c>
      <c r="AH298" s="11">
        <f>SUBTOTAL(3,_xlfn.SINGLE(tbl_code[RowId]))</f>
        <v>1</v>
      </c>
    </row>
    <row r="299" spans="10:34">
      <c r="J299" s="4">
        <v>289</v>
      </c>
      <c r="K299" s="21" t="str">
        <f>HYPERLINK("obsidian://open?vault=o2&amp;file=2024-09-23.md","2024-09-23")</f>
        <v>2024-09-23</v>
      </c>
      <c r="L299" s="2"/>
      <c r="M299" s="2" t="s">
        <v>3569</v>
      </c>
      <c r="N299" s="4">
        <v>1</v>
      </c>
      <c r="O299" s="2" t="s">
        <v>3647</v>
      </c>
      <c r="P299" s="11" t="s">
        <v>175</v>
      </c>
      <c r="AH299" s="11">
        <f>SUBTOTAL(3,_xlfn.SINGLE(tbl_code[RowId]))</f>
        <v>1</v>
      </c>
    </row>
    <row r="300" spans="10:34">
      <c r="J300" s="4">
        <v>290</v>
      </c>
      <c r="K300" s="21" t="str">
        <f>HYPERLINK("obsidian://open?vault=o2&amp;file=2024-09-24.md","2024-09-24")</f>
        <v>2024-09-24</v>
      </c>
      <c r="L300" s="2" t="s">
        <v>3319</v>
      </c>
      <c r="M300" s="2" t="s">
        <v>3320</v>
      </c>
      <c r="N300" s="4">
        <v>2</v>
      </c>
      <c r="O300" s="2" t="s">
        <v>3548</v>
      </c>
      <c r="P300" s="11" t="s">
        <v>175</v>
      </c>
      <c r="Q300" s="2" t="s">
        <v>3549</v>
      </c>
      <c r="R300" s="11" t="s">
        <v>175</v>
      </c>
      <c r="AH300" s="11">
        <f>SUBTOTAL(3,_xlfn.SINGLE(tbl_code[RowId]))</f>
        <v>1</v>
      </c>
    </row>
    <row r="301" spans="10:34">
      <c r="J301" s="4">
        <v>291</v>
      </c>
      <c r="K301" s="21" t="str">
        <f>HYPERLINK("obsidian://open?vault=o2&amp;file=2024-09-24.md","2024-09-24")</f>
        <v>2024-09-24</v>
      </c>
      <c r="L301" s="2"/>
      <c r="M301" s="2" t="s">
        <v>3569</v>
      </c>
      <c r="N301" s="4">
        <v>1</v>
      </c>
      <c r="O301" s="2" t="s">
        <v>3648</v>
      </c>
      <c r="P301" s="11" t="s">
        <v>175</v>
      </c>
      <c r="AH301" s="11">
        <f>SUBTOTAL(3,_xlfn.SINGLE(tbl_code[RowId]))</f>
        <v>1</v>
      </c>
    </row>
    <row r="302" spans="10:34">
      <c r="J302" s="4">
        <v>292</v>
      </c>
      <c r="K302" s="21" t="str">
        <f>HYPERLINK("obsidian://open?vault=o2&amp;file=2024-09-25.md","2024-09-25")</f>
        <v>2024-09-25</v>
      </c>
      <c r="L302" s="2" t="s">
        <v>3319</v>
      </c>
      <c r="M302" s="2" t="s">
        <v>3320</v>
      </c>
      <c r="N302" s="4">
        <v>2</v>
      </c>
      <c r="O302" s="2" t="s">
        <v>3548</v>
      </c>
      <c r="P302" s="11" t="s">
        <v>175</v>
      </c>
      <c r="Q302" s="2" t="s">
        <v>3549</v>
      </c>
      <c r="R302" s="11" t="s">
        <v>175</v>
      </c>
      <c r="AH302" s="11">
        <f>SUBTOTAL(3,_xlfn.SINGLE(tbl_code[RowId]))</f>
        <v>1</v>
      </c>
    </row>
    <row r="303" spans="10:34">
      <c r="J303" s="4">
        <v>293</v>
      </c>
      <c r="K303" s="21" t="str">
        <f>HYPERLINK("obsidian://open?vault=o2&amp;file=2024-09-25.md","2024-09-25")</f>
        <v>2024-09-25</v>
      </c>
      <c r="L303" s="2"/>
      <c r="M303" s="2" t="s">
        <v>3569</v>
      </c>
      <c r="N303" s="4">
        <v>1</v>
      </c>
      <c r="O303" s="2" t="s">
        <v>3649</v>
      </c>
      <c r="P303" s="11" t="s">
        <v>175</v>
      </c>
      <c r="AH303" s="11">
        <f>SUBTOTAL(3,_xlfn.SINGLE(tbl_code[RowId]))</f>
        <v>1</v>
      </c>
    </row>
    <row r="304" spans="10:34">
      <c r="J304" s="4">
        <v>294</v>
      </c>
      <c r="K304" s="21" t="str">
        <f>HYPERLINK("obsidian://open?vault=o2&amp;file=2024-09-25.md","2024-09-25")</f>
        <v>2024-09-25</v>
      </c>
      <c r="L304" s="2" t="s">
        <v>3624</v>
      </c>
      <c r="M304" s="2" t="s">
        <v>3625</v>
      </c>
      <c r="N304" s="4">
        <v>3</v>
      </c>
      <c r="O304" s="2" t="s">
        <v>3626</v>
      </c>
      <c r="P304" s="11" t="s">
        <v>175</v>
      </c>
      <c r="Q304" s="2" t="s">
        <v>3627</v>
      </c>
      <c r="R304" s="11" t="s">
        <v>175</v>
      </c>
      <c r="S304" s="2" t="s">
        <v>3628</v>
      </c>
      <c r="T304" s="11" t="s">
        <v>175</v>
      </c>
      <c r="AH304" s="11">
        <f>SUBTOTAL(3,_xlfn.SINGLE(tbl_code[RowId]))</f>
        <v>1</v>
      </c>
    </row>
    <row r="305" spans="10:34">
      <c r="J305" s="4">
        <v>295</v>
      </c>
      <c r="K305" s="21" t="str">
        <f>HYPERLINK("obsidian://open?vault=o2&amp;file=2024-09-26.md","2024-09-26")</f>
        <v>2024-09-26</v>
      </c>
      <c r="L305" s="2" t="s">
        <v>3319</v>
      </c>
      <c r="M305" s="2" t="s">
        <v>3320</v>
      </c>
      <c r="N305" s="4">
        <v>2</v>
      </c>
      <c r="O305" s="2" t="s">
        <v>3548</v>
      </c>
      <c r="P305" s="11" t="s">
        <v>175</v>
      </c>
      <c r="Q305" s="2" t="s">
        <v>3549</v>
      </c>
      <c r="R305" s="11" t="s">
        <v>175</v>
      </c>
      <c r="AH305" s="11">
        <f>SUBTOTAL(3,_xlfn.SINGLE(tbl_code[RowId]))</f>
        <v>1</v>
      </c>
    </row>
    <row r="306" spans="10:34">
      <c r="J306" s="4">
        <v>296</v>
      </c>
      <c r="K306" s="21" t="str">
        <f>HYPERLINK("obsidian://open?vault=o2&amp;file=2024-09-26.md","2024-09-26")</f>
        <v>2024-09-26</v>
      </c>
      <c r="L306" s="2"/>
      <c r="M306" s="2" t="s">
        <v>3569</v>
      </c>
      <c r="N306" s="4">
        <v>1</v>
      </c>
      <c r="O306" s="2" t="s">
        <v>3650</v>
      </c>
      <c r="P306" s="11" t="s">
        <v>175</v>
      </c>
      <c r="AH306" s="11">
        <f>SUBTOTAL(3,_xlfn.SINGLE(tbl_code[RowId]))</f>
        <v>1</v>
      </c>
    </row>
    <row r="307" spans="10:34">
      <c r="J307" s="4">
        <v>297</v>
      </c>
      <c r="K307" s="21" t="str">
        <f>HYPERLINK("obsidian://open?vault=o2&amp;file=2024-09-26.md","2024-09-26")</f>
        <v>2024-09-26</v>
      </c>
      <c r="L307" s="2" t="s">
        <v>3624</v>
      </c>
      <c r="M307" s="2" t="s">
        <v>3625</v>
      </c>
      <c r="N307" s="4">
        <v>3</v>
      </c>
      <c r="O307" s="2" t="s">
        <v>3626</v>
      </c>
      <c r="P307" s="11" t="s">
        <v>175</v>
      </c>
      <c r="Q307" s="2" t="s">
        <v>3627</v>
      </c>
      <c r="R307" s="11" t="s">
        <v>175</v>
      </c>
      <c r="S307" s="2" t="s">
        <v>3628</v>
      </c>
      <c r="T307" s="11" t="s">
        <v>175</v>
      </c>
      <c r="AH307" s="11">
        <f>SUBTOTAL(3,_xlfn.SINGLE(tbl_code[RowId]))</f>
        <v>1</v>
      </c>
    </row>
    <row r="308" spans="10:34">
      <c r="J308" s="4">
        <v>298</v>
      </c>
      <c r="K308" s="21" t="str">
        <f>HYPERLINK("obsidian://open?vault=o2&amp;file=2024-09-27.md","2024-09-27")</f>
        <v>2024-09-27</v>
      </c>
      <c r="L308" s="2" t="s">
        <v>3319</v>
      </c>
      <c r="M308" s="2" t="s">
        <v>3320</v>
      </c>
      <c r="N308" s="4">
        <v>2</v>
      </c>
      <c r="O308" s="2" t="s">
        <v>3548</v>
      </c>
      <c r="P308" s="11" t="s">
        <v>175</v>
      </c>
      <c r="Q308" s="2" t="s">
        <v>3549</v>
      </c>
      <c r="R308" s="11" t="s">
        <v>175</v>
      </c>
      <c r="AH308" s="11">
        <f>SUBTOTAL(3,_xlfn.SINGLE(tbl_code[RowId]))</f>
        <v>1</v>
      </c>
    </row>
    <row r="309" spans="10:34">
      <c r="J309" s="4">
        <v>299</v>
      </c>
      <c r="K309" s="21" t="str">
        <f>HYPERLINK("obsidian://open?vault=o2&amp;file=2024-09-27.md","2024-09-27")</f>
        <v>2024-09-27</v>
      </c>
      <c r="L309" s="2"/>
      <c r="M309" s="2" t="s">
        <v>3569</v>
      </c>
      <c r="N309" s="4">
        <v>1</v>
      </c>
      <c r="O309" s="2" t="s">
        <v>3651</v>
      </c>
      <c r="P309" s="11" t="s">
        <v>175</v>
      </c>
      <c r="AH309" s="11">
        <f>SUBTOTAL(3,_xlfn.SINGLE(tbl_code[RowId]))</f>
        <v>1</v>
      </c>
    </row>
    <row r="310" spans="10:34">
      <c r="J310" s="4">
        <v>300</v>
      </c>
      <c r="K310" s="21" t="str">
        <f>HYPERLINK("obsidian://open?vault=o2&amp;file=2024-09-27.md","2024-09-27")</f>
        <v>2024-09-27</v>
      </c>
      <c r="L310" s="2" t="s">
        <v>3624</v>
      </c>
      <c r="M310" s="2" t="s">
        <v>3625</v>
      </c>
      <c r="N310" s="4">
        <v>3</v>
      </c>
      <c r="O310" s="2" t="s">
        <v>3626</v>
      </c>
      <c r="P310" s="11" t="s">
        <v>175</v>
      </c>
      <c r="Q310" s="2" t="s">
        <v>3627</v>
      </c>
      <c r="R310" s="11" t="s">
        <v>175</v>
      </c>
      <c r="S310" s="2" t="s">
        <v>3628</v>
      </c>
      <c r="T310" s="11" t="s">
        <v>175</v>
      </c>
      <c r="AH310" s="11">
        <f>SUBTOTAL(3,_xlfn.SINGLE(tbl_code[RowId]))</f>
        <v>1</v>
      </c>
    </row>
    <row r="311" spans="10:34">
      <c r="J311" s="4">
        <v>301</v>
      </c>
      <c r="K311" s="21" t="str">
        <f>HYPERLINK("obsidian://open?vault=o2&amp;file=2024-09-28.md","2024-09-28")</f>
        <v>2024-09-28</v>
      </c>
      <c r="L311" s="2" t="s">
        <v>3319</v>
      </c>
      <c r="M311" s="2" t="s">
        <v>3320</v>
      </c>
      <c r="N311" s="4">
        <v>2</v>
      </c>
      <c r="O311" s="2" t="s">
        <v>3548</v>
      </c>
      <c r="P311" s="11" t="s">
        <v>175</v>
      </c>
      <c r="Q311" s="2" t="s">
        <v>3549</v>
      </c>
      <c r="R311" s="11" t="s">
        <v>175</v>
      </c>
      <c r="AH311" s="11">
        <f>SUBTOTAL(3,_xlfn.SINGLE(tbl_code[RowId]))</f>
        <v>1</v>
      </c>
    </row>
    <row r="312" spans="10:34">
      <c r="J312" s="4">
        <v>302</v>
      </c>
      <c r="K312" s="21" t="str">
        <f>HYPERLINK("obsidian://open?vault=o2&amp;file=2024-09-28.md","2024-09-28")</f>
        <v>2024-09-28</v>
      </c>
      <c r="L312" s="2"/>
      <c r="M312" s="2" t="s">
        <v>3569</v>
      </c>
      <c r="N312" s="4">
        <v>1</v>
      </c>
      <c r="O312" s="2" t="s">
        <v>3652</v>
      </c>
      <c r="P312" s="11" t="s">
        <v>175</v>
      </c>
      <c r="AH312" s="11">
        <f>SUBTOTAL(3,_xlfn.SINGLE(tbl_code[RowId]))</f>
        <v>1</v>
      </c>
    </row>
    <row r="313" spans="10:34">
      <c r="J313" s="4">
        <v>303</v>
      </c>
      <c r="K313" s="21" t="str">
        <f>HYPERLINK("obsidian://open?vault=o2&amp;file=2024-09-28.md","2024-09-28")</f>
        <v>2024-09-28</v>
      </c>
      <c r="L313" s="2" t="s">
        <v>3624</v>
      </c>
      <c r="M313" s="2" t="s">
        <v>3625</v>
      </c>
      <c r="N313" s="4">
        <v>3</v>
      </c>
      <c r="O313" s="2" t="s">
        <v>3626</v>
      </c>
      <c r="P313" s="11" t="s">
        <v>175</v>
      </c>
      <c r="Q313" s="2" t="s">
        <v>3627</v>
      </c>
      <c r="R313" s="11" t="s">
        <v>175</v>
      </c>
      <c r="S313" s="2" t="s">
        <v>3628</v>
      </c>
      <c r="T313" s="11" t="s">
        <v>175</v>
      </c>
      <c r="AH313" s="11">
        <f>SUBTOTAL(3,_xlfn.SINGLE(tbl_code[RowId]))</f>
        <v>1</v>
      </c>
    </row>
    <row r="314" spans="10:34">
      <c r="J314" s="4">
        <v>304</v>
      </c>
      <c r="K314" s="21" t="str">
        <f>HYPERLINK("obsidian://open?vault=o2&amp;file=2024-09-29.md","2024-09-29")</f>
        <v>2024-09-29</v>
      </c>
      <c r="L314" s="2" t="s">
        <v>3319</v>
      </c>
      <c r="M314" s="2" t="s">
        <v>3320</v>
      </c>
      <c r="N314" s="4">
        <v>2</v>
      </c>
      <c r="O314" s="2" t="s">
        <v>3548</v>
      </c>
      <c r="P314" s="11" t="s">
        <v>175</v>
      </c>
      <c r="Q314" s="2" t="s">
        <v>3549</v>
      </c>
      <c r="R314" s="11" t="s">
        <v>175</v>
      </c>
      <c r="AH314" s="11">
        <f>SUBTOTAL(3,_xlfn.SINGLE(tbl_code[RowId]))</f>
        <v>1</v>
      </c>
    </row>
    <row r="315" spans="10:34">
      <c r="J315" s="4">
        <v>305</v>
      </c>
      <c r="K315" s="21" t="str">
        <f>HYPERLINK("obsidian://open?vault=o2&amp;file=2024-09-29.md","2024-09-29")</f>
        <v>2024-09-29</v>
      </c>
      <c r="L315" s="2"/>
      <c r="M315" s="2" t="s">
        <v>3569</v>
      </c>
      <c r="N315" s="4">
        <v>1</v>
      </c>
      <c r="O315" s="2" t="s">
        <v>3653</v>
      </c>
      <c r="P315" s="11" t="s">
        <v>175</v>
      </c>
      <c r="AH315" s="11">
        <f>SUBTOTAL(3,_xlfn.SINGLE(tbl_code[RowId]))</f>
        <v>1</v>
      </c>
    </row>
    <row r="316" spans="10:34">
      <c r="J316" s="4">
        <v>306</v>
      </c>
      <c r="K316" s="21" t="str">
        <f>HYPERLINK("obsidian://open?vault=o2&amp;file=2024-09-29.md","2024-09-29")</f>
        <v>2024-09-29</v>
      </c>
      <c r="L316" s="2" t="s">
        <v>3624</v>
      </c>
      <c r="M316" s="2" t="s">
        <v>3625</v>
      </c>
      <c r="N316" s="4">
        <v>3</v>
      </c>
      <c r="O316" s="2" t="s">
        <v>3626</v>
      </c>
      <c r="P316" s="11" t="s">
        <v>175</v>
      </c>
      <c r="Q316" s="2" t="s">
        <v>3627</v>
      </c>
      <c r="R316" s="11" t="s">
        <v>175</v>
      </c>
      <c r="S316" s="2" t="s">
        <v>3628</v>
      </c>
      <c r="T316" s="11" t="s">
        <v>175</v>
      </c>
      <c r="AH316" s="11">
        <f>SUBTOTAL(3,_xlfn.SINGLE(tbl_code[RowId]))</f>
        <v>1</v>
      </c>
    </row>
    <row r="317" spans="10:34">
      <c r="J317" s="4">
        <v>307</v>
      </c>
      <c r="K317" s="21" t="str">
        <f>HYPERLINK("obsidian://open?vault=o2&amp;file=2024-09-30.md","2024-09-30")</f>
        <v>2024-09-30</v>
      </c>
      <c r="L317" s="2" t="s">
        <v>3319</v>
      </c>
      <c r="M317" s="2" t="s">
        <v>3320</v>
      </c>
      <c r="N317" s="4">
        <v>2</v>
      </c>
      <c r="O317" s="2" t="s">
        <v>3548</v>
      </c>
      <c r="P317" s="11" t="s">
        <v>175</v>
      </c>
      <c r="Q317" s="2" t="s">
        <v>3549</v>
      </c>
      <c r="R317" s="11" t="s">
        <v>175</v>
      </c>
      <c r="AH317" s="11">
        <f>SUBTOTAL(3,_xlfn.SINGLE(tbl_code[RowId]))</f>
        <v>1</v>
      </c>
    </row>
    <row r="318" spans="10:34">
      <c r="J318" s="4">
        <v>308</v>
      </c>
      <c r="K318" s="21" t="str">
        <f>HYPERLINK("obsidian://open?vault=o2&amp;file=2024-09-30.md","2024-09-30")</f>
        <v>2024-09-30</v>
      </c>
      <c r="L318" s="2"/>
      <c r="M318" s="2" t="s">
        <v>3569</v>
      </c>
      <c r="N318" s="4">
        <v>1</v>
      </c>
      <c r="O318" s="2" t="s">
        <v>3654</v>
      </c>
      <c r="P318" s="11" t="s">
        <v>175</v>
      </c>
      <c r="AH318" s="11">
        <f>SUBTOTAL(3,_xlfn.SINGLE(tbl_code[RowId]))</f>
        <v>1</v>
      </c>
    </row>
    <row r="319" spans="10:34">
      <c r="J319" s="4">
        <v>309</v>
      </c>
      <c r="K319" s="21" t="str">
        <f>HYPERLINK("obsidian://open?vault=o2&amp;file=2024-09-30.md","2024-09-30")</f>
        <v>2024-09-30</v>
      </c>
      <c r="L319" s="2" t="s">
        <v>3624</v>
      </c>
      <c r="M319" s="2" t="s">
        <v>3625</v>
      </c>
      <c r="N319" s="4">
        <v>3</v>
      </c>
      <c r="O319" s="2" t="s">
        <v>3626</v>
      </c>
      <c r="P319" s="11" t="s">
        <v>175</v>
      </c>
      <c r="Q319" s="2" t="s">
        <v>3627</v>
      </c>
      <c r="R319" s="11" t="s">
        <v>175</v>
      </c>
      <c r="S319" s="2" t="s">
        <v>3628</v>
      </c>
      <c r="T319" s="11" t="s">
        <v>175</v>
      </c>
      <c r="AH319" s="11">
        <f>SUBTOTAL(3,_xlfn.SINGLE(tbl_code[RowId]))</f>
        <v>1</v>
      </c>
    </row>
    <row r="320" spans="10:34">
      <c r="J320" s="4">
        <v>310</v>
      </c>
      <c r="K320" s="21" t="str">
        <f>HYPERLINK("obsidian://open?vault=o2&amp;file=2024-10-01.md","2024-10-01")</f>
        <v>2024-10-01</v>
      </c>
      <c r="L320" s="2" t="s">
        <v>3319</v>
      </c>
      <c r="M320" s="2" t="s">
        <v>3320</v>
      </c>
      <c r="N320" s="4">
        <v>2</v>
      </c>
      <c r="O320" s="2" t="s">
        <v>3548</v>
      </c>
      <c r="P320" s="11" t="s">
        <v>175</v>
      </c>
      <c r="Q320" s="2" t="s">
        <v>3549</v>
      </c>
      <c r="R320" s="11" t="s">
        <v>175</v>
      </c>
      <c r="AH320" s="11">
        <f>SUBTOTAL(3,_xlfn.SINGLE(tbl_code[RowId]))</f>
        <v>1</v>
      </c>
    </row>
    <row r="321" spans="10:34">
      <c r="J321" s="4">
        <v>311</v>
      </c>
      <c r="K321" s="21" t="str">
        <f>HYPERLINK("obsidian://open?vault=o2&amp;file=2024-10-01.md","2024-10-01")</f>
        <v>2024-10-01</v>
      </c>
      <c r="L321" s="2"/>
      <c r="M321" s="2" t="s">
        <v>3569</v>
      </c>
      <c r="N321" s="4">
        <v>1</v>
      </c>
      <c r="O321" s="2" t="s">
        <v>3655</v>
      </c>
      <c r="P321" s="11" t="s">
        <v>175</v>
      </c>
      <c r="AH321" s="11">
        <f>SUBTOTAL(3,_xlfn.SINGLE(tbl_code[RowId]))</f>
        <v>1</v>
      </c>
    </row>
    <row r="322" spans="10:34">
      <c r="J322" s="4">
        <v>312</v>
      </c>
      <c r="K322" s="21" t="str">
        <f>HYPERLINK("obsidian://open?vault=o2&amp;file=2024-10-01.md","2024-10-01")</f>
        <v>2024-10-01</v>
      </c>
      <c r="L322" s="2" t="s">
        <v>3624</v>
      </c>
      <c r="M322" s="2" t="s">
        <v>3625</v>
      </c>
      <c r="N322" s="4">
        <v>3</v>
      </c>
      <c r="O322" s="2" t="s">
        <v>3626</v>
      </c>
      <c r="P322" s="11" t="s">
        <v>175</v>
      </c>
      <c r="Q322" s="2" t="s">
        <v>3627</v>
      </c>
      <c r="R322" s="11" t="s">
        <v>175</v>
      </c>
      <c r="S322" s="2" t="s">
        <v>3628</v>
      </c>
      <c r="T322" s="11" t="s">
        <v>175</v>
      </c>
      <c r="AH322" s="11">
        <f>SUBTOTAL(3,_xlfn.SINGLE(tbl_code[RowId]))</f>
        <v>1</v>
      </c>
    </row>
    <row r="323" spans="10:34">
      <c r="J323" s="4">
        <v>313</v>
      </c>
      <c r="K323" s="21" t="str">
        <f>HYPERLINK("obsidian://open?vault=o2&amp;file=2024-10-02.md","2024-10-02")</f>
        <v>2024-10-02</v>
      </c>
      <c r="L323" s="2" t="s">
        <v>3319</v>
      </c>
      <c r="M323" s="2" t="s">
        <v>3320</v>
      </c>
      <c r="N323" s="4">
        <v>2</v>
      </c>
      <c r="O323" s="2" t="s">
        <v>3548</v>
      </c>
      <c r="P323" s="11" t="s">
        <v>175</v>
      </c>
      <c r="Q323" s="2" t="s">
        <v>3549</v>
      </c>
      <c r="R323" s="11" t="s">
        <v>175</v>
      </c>
      <c r="AH323" s="11">
        <f>SUBTOTAL(3,_xlfn.SINGLE(tbl_code[RowId]))</f>
        <v>1</v>
      </c>
    </row>
    <row r="324" spans="10:34">
      <c r="J324" s="4">
        <v>314</v>
      </c>
      <c r="K324" s="21" t="str">
        <f>HYPERLINK("obsidian://open?vault=o2&amp;file=2024-10-02.md","2024-10-02")</f>
        <v>2024-10-02</v>
      </c>
      <c r="L324" s="2" t="s">
        <v>3455</v>
      </c>
      <c r="M324" s="2" t="s">
        <v>3456</v>
      </c>
      <c r="N324" s="4">
        <v>1</v>
      </c>
      <c r="O324" s="2" t="s">
        <v>3656</v>
      </c>
      <c r="P324" s="11" t="s">
        <v>175</v>
      </c>
      <c r="AH324" s="11">
        <f>SUBTOTAL(3,_xlfn.SINGLE(tbl_code[RowId]))</f>
        <v>1</v>
      </c>
    </row>
    <row r="325" spans="10:34">
      <c r="J325" s="4">
        <v>315</v>
      </c>
      <c r="K325" s="21" t="str">
        <f>HYPERLINK("obsidian://open?vault=o2&amp;file=2024-10-02.md","2024-10-02")</f>
        <v>2024-10-02</v>
      </c>
      <c r="L325" s="2"/>
      <c r="M325" s="2" t="s">
        <v>3569</v>
      </c>
      <c r="N325" s="4">
        <v>1</v>
      </c>
      <c r="O325" s="2" t="s">
        <v>3657</v>
      </c>
      <c r="P325" s="11" t="s">
        <v>175</v>
      </c>
      <c r="AH325" s="11">
        <f>SUBTOTAL(3,_xlfn.SINGLE(tbl_code[RowId]))</f>
        <v>1</v>
      </c>
    </row>
    <row r="326" spans="10:34">
      <c r="J326" s="4">
        <v>316</v>
      </c>
      <c r="K326" s="21" t="str">
        <f>HYPERLINK("obsidian://open?vault=o2&amp;file=2024-10-02.md","2024-10-02")</f>
        <v>2024-10-02</v>
      </c>
      <c r="L326" s="2" t="s">
        <v>3624</v>
      </c>
      <c r="M326" s="2" t="s">
        <v>3625</v>
      </c>
      <c r="N326" s="4">
        <v>3</v>
      </c>
      <c r="O326" s="2" t="s">
        <v>3626</v>
      </c>
      <c r="P326" s="11" t="s">
        <v>175</v>
      </c>
      <c r="Q326" s="2" t="s">
        <v>3627</v>
      </c>
      <c r="R326" s="11" t="s">
        <v>175</v>
      </c>
      <c r="S326" s="2" t="s">
        <v>3628</v>
      </c>
      <c r="T326" s="11" t="s">
        <v>175</v>
      </c>
      <c r="AH326" s="11">
        <f>SUBTOTAL(3,_xlfn.SINGLE(tbl_code[RowId]))</f>
        <v>1</v>
      </c>
    </row>
    <row r="327" spans="10:34">
      <c r="J327" s="4">
        <v>317</v>
      </c>
      <c r="K327" s="21" t="str">
        <f>HYPERLINK("obsidian://open?vault=o2&amp;file=2024-10-03.md","2024-10-03")</f>
        <v>2024-10-03</v>
      </c>
      <c r="L327" s="2" t="s">
        <v>3319</v>
      </c>
      <c r="M327" s="2" t="s">
        <v>3320</v>
      </c>
      <c r="N327" s="4">
        <v>2</v>
      </c>
      <c r="O327" s="2" t="s">
        <v>3548</v>
      </c>
      <c r="P327" s="11" t="s">
        <v>175</v>
      </c>
      <c r="Q327" s="2" t="s">
        <v>3549</v>
      </c>
      <c r="R327" s="11" t="s">
        <v>175</v>
      </c>
      <c r="AH327" s="11">
        <f>SUBTOTAL(3,_xlfn.SINGLE(tbl_code[RowId]))</f>
        <v>1</v>
      </c>
    </row>
    <row r="328" spans="10:34">
      <c r="J328" s="4">
        <v>318</v>
      </c>
      <c r="K328" s="21" t="str">
        <f>HYPERLINK("obsidian://open?vault=o2&amp;file=2024-10-03.md","2024-10-03")</f>
        <v>2024-10-03</v>
      </c>
      <c r="L328" s="2" t="s">
        <v>3455</v>
      </c>
      <c r="M328" s="2" t="s">
        <v>3456</v>
      </c>
      <c r="N328" s="4">
        <v>1</v>
      </c>
      <c r="O328" s="2" t="s">
        <v>3656</v>
      </c>
      <c r="P328" s="11" t="s">
        <v>175</v>
      </c>
      <c r="AH328" s="11">
        <f>SUBTOTAL(3,_xlfn.SINGLE(tbl_code[RowId]))</f>
        <v>1</v>
      </c>
    </row>
    <row r="329" spans="10:34">
      <c r="J329" s="4">
        <v>319</v>
      </c>
      <c r="K329" s="21" t="str">
        <f>HYPERLINK("obsidian://open?vault=o2&amp;file=2024-10-03.md","2024-10-03")</f>
        <v>2024-10-03</v>
      </c>
      <c r="L329" s="2"/>
      <c r="M329" s="2" t="s">
        <v>3569</v>
      </c>
      <c r="N329" s="4">
        <v>1</v>
      </c>
      <c r="O329" s="2" t="s">
        <v>3658</v>
      </c>
      <c r="P329" s="11" t="s">
        <v>175</v>
      </c>
      <c r="AH329" s="11">
        <f>SUBTOTAL(3,_xlfn.SINGLE(tbl_code[RowId]))</f>
        <v>1</v>
      </c>
    </row>
    <row r="330" spans="10:34">
      <c r="J330" s="4">
        <v>320</v>
      </c>
      <c r="K330" s="21" t="str">
        <f>HYPERLINK("obsidian://open?vault=o2&amp;file=2024-10-03.md","2024-10-03")</f>
        <v>2024-10-03</v>
      </c>
      <c r="L330" s="2" t="s">
        <v>3624</v>
      </c>
      <c r="M330" s="2" t="s">
        <v>3625</v>
      </c>
      <c r="N330" s="4">
        <v>3</v>
      </c>
      <c r="O330" s="2" t="s">
        <v>3626</v>
      </c>
      <c r="P330" s="11" t="s">
        <v>175</v>
      </c>
      <c r="Q330" s="2" t="s">
        <v>3627</v>
      </c>
      <c r="R330" s="11" t="s">
        <v>175</v>
      </c>
      <c r="S330" s="2" t="s">
        <v>3628</v>
      </c>
      <c r="T330" s="11" t="s">
        <v>175</v>
      </c>
      <c r="AH330" s="11">
        <f>SUBTOTAL(3,_xlfn.SINGLE(tbl_code[RowId]))</f>
        <v>1</v>
      </c>
    </row>
    <row r="331" spans="10:34">
      <c r="J331" s="4">
        <v>321</v>
      </c>
      <c r="K331" s="21" t="str">
        <f>HYPERLINK("obsidian://open?vault=o2&amp;file=2024-10-04.md","2024-10-04")</f>
        <v>2024-10-04</v>
      </c>
      <c r="L331" s="2" t="s">
        <v>3319</v>
      </c>
      <c r="M331" s="2" t="s">
        <v>3320</v>
      </c>
      <c r="N331" s="4">
        <v>2</v>
      </c>
      <c r="O331" s="2" t="s">
        <v>3548</v>
      </c>
      <c r="P331" s="11" t="s">
        <v>175</v>
      </c>
      <c r="Q331" s="2" t="s">
        <v>3549</v>
      </c>
      <c r="R331" s="11" t="s">
        <v>175</v>
      </c>
      <c r="AH331" s="11">
        <f>SUBTOTAL(3,_xlfn.SINGLE(tbl_code[RowId]))</f>
        <v>1</v>
      </c>
    </row>
    <row r="332" spans="10:34">
      <c r="J332" s="4">
        <v>322</v>
      </c>
      <c r="K332" s="21" t="str">
        <f>HYPERLINK("obsidian://open?vault=o2&amp;file=2024-10-04.md","2024-10-04")</f>
        <v>2024-10-04</v>
      </c>
      <c r="L332" s="2" t="s">
        <v>3455</v>
      </c>
      <c r="M332" s="2" t="s">
        <v>3456</v>
      </c>
      <c r="N332" s="4">
        <v>1</v>
      </c>
      <c r="O332" s="2" t="s">
        <v>3656</v>
      </c>
      <c r="P332" s="11" t="s">
        <v>175</v>
      </c>
      <c r="AH332" s="11">
        <f>SUBTOTAL(3,_xlfn.SINGLE(tbl_code[RowId]))</f>
        <v>1</v>
      </c>
    </row>
    <row r="333" spans="10:34">
      <c r="J333" s="4">
        <v>323</v>
      </c>
      <c r="K333" s="21" t="str">
        <f>HYPERLINK("obsidian://open?vault=o2&amp;file=2024-10-04.md","2024-10-04")</f>
        <v>2024-10-04</v>
      </c>
      <c r="L333" s="2"/>
      <c r="M333" s="2" t="s">
        <v>3569</v>
      </c>
      <c r="N333" s="4">
        <v>1</v>
      </c>
      <c r="O333" s="2" t="s">
        <v>3659</v>
      </c>
      <c r="P333" s="11" t="s">
        <v>175</v>
      </c>
      <c r="AH333" s="11">
        <f>SUBTOTAL(3,_xlfn.SINGLE(tbl_code[RowId]))</f>
        <v>1</v>
      </c>
    </row>
    <row r="334" spans="10:34">
      <c r="J334" s="4">
        <v>324</v>
      </c>
      <c r="K334" s="21" t="str">
        <f>HYPERLINK("obsidian://open?vault=o2&amp;file=2024-10-04.md","2024-10-04")</f>
        <v>2024-10-04</v>
      </c>
      <c r="L334" s="2" t="s">
        <v>3624</v>
      </c>
      <c r="M334" s="2" t="s">
        <v>3625</v>
      </c>
      <c r="N334" s="4">
        <v>3</v>
      </c>
      <c r="O334" s="2" t="s">
        <v>3626</v>
      </c>
      <c r="P334" s="11" t="s">
        <v>175</v>
      </c>
      <c r="Q334" s="2" t="s">
        <v>3627</v>
      </c>
      <c r="R334" s="11" t="s">
        <v>175</v>
      </c>
      <c r="S334" s="2" t="s">
        <v>3628</v>
      </c>
      <c r="T334" s="11" t="s">
        <v>175</v>
      </c>
      <c r="AH334" s="11">
        <f>SUBTOTAL(3,_xlfn.SINGLE(tbl_code[RowId]))</f>
        <v>1</v>
      </c>
    </row>
    <row r="335" spans="10:34">
      <c r="J335" s="4">
        <v>325</v>
      </c>
      <c r="K335" s="21" t="str">
        <f>HYPERLINK("obsidian://open?vault=o2&amp;file=2024-10-05.md","2024-10-05")</f>
        <v>2024-10-05</v>
      </c>
      <c r="L335" s="2" t="s">
        <v>3319</v>
      </c>
      <c r="M335" s="2" t="s">
        <v>3320</v>
      </c>
      <c r="N335" s="4">
        <v>2</v>
      </c>
      <c r="O335" s="2" t="s">
        <v>3548</v>
      </c>
      <c r="P335" s="11" t="s">
        <v>175</v>
      </c>
      <c r="Q335" s="2" t="s">
        <v>3549</v>
      </c>
      <c r="R335" s="11" t="s">
        <v>175</v>
      </c>
      <c r="AH335" s="11">
        <f>SUBTOTAL(3,_xlfn.SINGLE(tbl_code[RowId]))</f>
        <v>1</v>
      </c>
    </row>
    <row r="336" spans="10:34">
      <c r="J336" s="4">
        <v>326</v>
      </c>
      <c r="K336" s="21" t="str">
        <f>HYPERLINK("obsidian://open?vault=o2&amp;file=2024-10-05.md","2024-10-05")</f>
        <v>2024-10-05</v>
      </c>
      <c r="L336" s="2" t="s">
        <v>3455</v>
      </c>
      <c r="M336" s="2" t="s">
        <v>3456</v>
      </c>
      <c r="N336" s="4">
        <v>1</v>
      </c>
      <c r="O336" s="2" t="s">
        <v>3656</v>
      </c>
      <c r="P336" s="11" t="s">
        <v>175</v>
      </c>
      <c r="AH336" s="11">
        <f>SUBTOTAL(3,_xlfn.SINGLE(tbl_code[RowId]))</f>
        <v>1</v>
      </c>
    </row>
    <row r="337" spans="10:34">
      <c r="J337" s="4">
        <v>327</v>
      </c>
      <c r="K337" s="21" t="str">
        <f>HYPERLINK("obsidian://open?vault=o2&amp;file=2024-10-05.md","2024-10-05")</f>
        <v>2024-10-05</v>
      </c>
      <c r="L337" s="2"/>
      <c r="M337" s="2" t="s">
        <v>3569</v>
      </c>
      <c r="N337" s="4">
        <v>1</v>
      </c>
      <c r="O337" s="2" t="s">
        <v>3660</v>
      </c>
      <c r="P337" s="11" t="s">
        <v>175</v>
      </c>
      <c r="AH337" s="11">
        <f>SUBTOTAL(3,_xlfn.SINGLE(tbl_code[RowId]))</f>
        <v>1</v>
      </c>
    </row>
    <row r="338" spans="10:34">
      <c r="J338" s="4">
        <v>328</v>
      </c>
      <c r="K338" s="21" t="str">
        <f>HYPERLINK("obsidian://open?vault=o2&amp;file=2024-10-05.md","2024-10-05")</f>
        <v>2024-10-05</v>
      </c>
      <c r="L338" s="2" t="s">
        <v>3624</v>
      </c>
      <c r="M338" s="2" t="s">
        <v>3625</v>
      </c>
      <c r="N338" s="4">
        <v>3</v>
      </c>
      <c r="O338" s="2" t="s">
        <v>3626</v>
      </c>
      <c r="P338" s="11" t="s">
        <v>175</v>
      </c>
      <c r="Q338" s="2" t="s">
        <v>3627</v>
      </c>
      <c r="R338" s="11" t="s">
        <v>175</v>
      </c>
      <c r="S338" s="2" t="s">
        <v>3628</v>
      </c>
      <c r="T338" s="11" t="s">
        <v>175</v>
      </c>
      <c r="AH338" s="11">
        <f>SUBTOTAL(3,_xlfn.SINGLE(tbl_code[RowId]))</f>
        <v>1</v>
      </c>
    </row>
    <row r="339" spans="10:34">
      <c r="J339" s="4">
        <v>329</v>
      </c>
      <c r="K339" s="21" t="str">
        <f>HYPERLINK("obsidian://open?vault=o2&amp;file=2024-10-06.md","2024-10-06")</f>
        <v>2024-10-06</v>
      </c>
      <c r="L339" s="2" t="s">
        <v>3319</v>
      </c>
      <c r="M339" s="2" t="s">
        <v>3320</v>
      </c>
      <c r="N339" s="4">
        <v>2</v>
      </c>
      <c r="O339" s="2" t="s">
        <v>3548</v>
      </c>
      <c r="P339" s="11" t="s">
        <v>175</v>
      </c>
      <c r="Q339" s="2" t="s">
        <v>3549</v>
      </c>
      <c r="R339" s="11" t="s">
        <v>175</v>
      </c>
      <c r="AH339" s="11">
        <f>SUBTOTAL(3,_xlfn.SINGLE(tbl_code[RowId]))</f>
        <v>1</v>
      </c>
    </row>
    <row r="340" spans="10:34">
      <c r="J340" s="4">
        <v>330</v>
      </c>
      <c r="K340" s="21" t="str">
        <f>HYPERLINK("obsidian://open?vault=o2&amp;file=2024-10-06.md","2024-10-06")</f>
        <v>2024-10-06</v>
      </c>
      <c r="L340" s="2" t="s">
        <v>3455</v>
      </c>
      <c r="M340" s="2" t="s">
        <v>3456</v>
      </c>
      <c r="N340" s="4">
        <v>1</v>
      </c>
      <c r="O340" s="2" t="s">
        <v>3656</v>
      </c>
      <c r="P340" s="11" t="s">
        <v>175</v>
      </c>
      <c r="AH340" s="11">
        <f>SUBTOTAL(3,_xlfn.SINGLE(tbl_code[RowId]))</f>
        <v>1</v>
      </c>
    </row>
    <row r="341" spans="10:34">
      <c r="J341" s="4">
        <v>331</v>
      </c>
      <c r="K341" s="21" t="str">
        <f>HYPERLINK("obsidian://open?vault=o2&amp;file=2024-10-06.md","2024-10-06")</f>
        <v>2024-10-06</v>
      </c>
      <c r="L341" s="2"/>
      <c r="M341" s="2" t="s">
        <v>3569</v>
      </c>
      <c r="N341" s="4">
        <v>1</v>
      </c>
      <c r="O341" s="2" t="s">
        <v>3661</v>
      </c>
      <c r="P341" s="11" t="s">
        <v>175</v>
      </c>
      <c r="AH341" s="11">
        <f>SUBTOTAL(3,_xlfn.SINGLE(tbl_code[RowId]))</f>
        <v>1</v>
      </c>
    </row>
    <row r="342" spans="10:34">
      <c r="J342" s="4">
        <v>332</v>
      </c>
      <c r="K342" s="21" t="str">
        <f>HYPERLINK("obsidian://open?vault=o2&amp;file=2024-10-06.md","2024-10-06")</f>
        <v>2024-10-06</v>
      </c>
      <c r="L342" s="2" t="s">
        <v>3624</v>
      </c>
      <c r="M342" s="2" t="s">
        <v>3625</v>
      </c>
      <c r="N342" s="4">
        <v>3</v>
      </c>
      <c r="O342" s="2" t="s">
        <v>3626</v>
      </c>
      <c r="P342" s="11" t="s">
        <v>175</v>
      </c>
      <c r="Q342" s="2" t="s">
        <v>3627</v>
      </c>
      <c r="R342" s="11" t="s">
        <v>175</v>
      </c>
      <c r="S342" s="2" t="s">
        <v>3628</v>
      </c>
      <c r="T342" s="11" t="s">
        <v>175</v>
      </c>
      <c r="AH342" s="11">
        <f>SUBTOTAL(3,_xlfn.SINGLE(tbl_code[RowId]))</f>
        <v>1</v>
      </c>
    </row>
    <row r="343" spans="10:34">
      <c r="J343" s="4">
        <v>333</v>
      </c>
      <c r="K343" s="21" t="str">
        <f>HYPERLINK("obsidian://open?vault=o2&amp;file=2024-10-07.md","2024-10-07")</f>
        <v>2024-10-07</v>
      </c>
      <c r="L343" s="2" t="s">
        <v>3319</v>
      </c>
      <c r="M343" s="2" t="s">
        <v>3320</v>
      </c>
      <c r="N343" s="4">
        <v>2</v>
      </c>
      <c r="O343" s="2" t="s">
        <v>3548</v>
      </c>
      <c r="P343" s="11" t="s">
        <v>175</v>
      </c>
      <c r="Q343" s="2" t="s">
        <v>3549</v>
      </c>
      <c r="R343" s="11" t="s">
        <v>175</v>
      </c>
      <c r="AH343" s="11">
        <f>SUBTOTAL(3,_xlfn.SINGLE(tbl_code[RowId]))</f>
        <v>1</v>
      </c>
    </row>
    <row r="344" spans="10:34">
      <c r="J344" s="4">
        <v>334</v>
      </c>
      <c r="K344" s="21" t="str">
        <f>HYPERLINK("obsidian://open?vault=o2&amp;file=2024-10-07.md","2024-10-07")</f>
        <v>2024-10-07</v>
      </c>
      <c r="L344" s="2" t="s">
        <v>3455</v>
      </c>
      <c r="M344" s="2" t="s">
        <v>3456</v>
      </c>
      <c r="N344" s="4">
        <v>1</v>
      </c>
      <c r="O344" s="2" t="s">
        <v>3656</v>
      </c>
      <c r="P344" s="11" t="s">
        <v>175</v>
      </c>
      <c r="AH344" s="11">
        <f>SUBTOTAL(3,_xlfn.SINGLE(tbl_code[RowId]))</f>
        <v>1</v>
      </c>
    </row>
    <row r="345" spans="10:34">
      <c r="J345" s="4">
        <v>335</v>
      </c>
      <c r="K345" s="21" t="str">
        <f>HYPERLINK("obsidian://open?vault=o2&amp;file=2024-10-07.md","2024-10-07")</f>
        <v>2024-10-07</v>
      </c>
      <c r="L345" s="2"/>
      <c r="M345" s="2" t="s">
        <v>3569</v>
      </c>
      <c r="N345" s="4">
        <v>1</v>
      </c>
      <c r="O345" s="2" t="s">
        <v>3662</v>
      </c>
      <c r="P345" s="11" t="s">
        <v>175</v>
      </c>
      <c r="AH345" s="11">
        <f>SUBTOTAL(3,_xlfn.SINGLE(tbl_code[RowId]))</f>
        <v>1</v>
      </c>
    </row>
    <row r="346" spans="10:34">
      <c r="J346" s="4">
        <v>336</v>
      </c>
      <c r="K346" s="21" t="str">
        <f>HYPERLINK("obsidian://open?vault=o2&amp;file=2024-10-07.md","2024-10-07")</f>
        <v>2024-10-07</v>
      </c>
      <c r="L346" s="2" t="s">
        <v>3624</v>
      </c>
      <c r="M346" s="2" t="s">
        <v>3625</v>
      </c>
      <c r="N346" s="4">
        <v>3</v>
      </c>
      <c r="O346" s="2" t="s">
        <v>3626</v>
      </c>
      <c r="P346" s="11" t="s">
        <v>175</v>
      </c>
      <c r="Q346" s="2" t="s">
        <v>3627</v>
      </c>
      <c r="R346" s="11" t="s">
        <v>175</v>
      </c>
      <c r="S346" s="2" t="s">
        <v>3628</v>
      </c>
      <c r="T346" s="11" t="s">
        <v>175</v>
      </c>
      <c r="AH346" s="11">
        <f>SUBTOTAL(3,_xlfn.SINGLE(tbl_code[RowId]))</f>
        <v>1</v>
      </c>
    </row>
    <row r="347" spans="10:34">
      <c r="J347" s="4">
        <v>337</v>
      </c>
      <c r="K347" s="21" t="str">
        <f>HYPERLINK("obsidian://open?vault=o2&amp;file=2024-10-09.md","2024-10-09")</f>
        <v>2024-10-09</v>
      </c>
      <c r="L347" s="2" t="s">
        <v>3319</v>
      </c>
      <c r="M347" s="2" t="s">
        <v>3320</v>
      </c>
      <c r="N347" s="4">
        <v>2</v>
      </c>
      <c r="O347" s="2" t="s">
        <v>3548</v>
      </c>
      <c r="P347" s="11" t="s">
        <v>175</v>
      </c>
      <c r="Q347" s="2" t="s">
        <v>3549</v>
      </c>
      <c r="R347" s="11" t="s">
        <v>175</v>
      </c>
      <c r="AH347" s="11">
        <f>SUBTOTAL(3,_xlfn.SINGLE(tbl_code[RowId]))</f>
        <v>1</v>
      </c>
    </row>
    <row r="348" spans="10:34">
      <c r="J348" s="4">
        <v>338</v>
      </c>
      <c r="K348" s="21" t="str">
        <f>HYPERLINK("obsidian://open?vault=o2&amp;file=2024-10-09.md","2024-10-09")</f>
        <v>2024-10-09</v>
      </c>
      <c r="L348" s="2" t="s">
        <v>3455</v>
      </c>
      <c r="M348" s="2" t="s">
        <v>3456</v>
      </c>
      <c r="N348" s="4">
        <v>1</v>
      </c>
      <c r="O348" s="2" t="s">
        <v>3656</v>
      </c>
      <c r="P348" s="11" t="s">
        <v>175</v>
      </c>
      <c r="AH348" s="11">
        <f>SUBTOTAL(3,_xlfn.SINGLE(tbl_code[RowId]))</f>
        <v>1</v>
      </c>
    </row>
    <row r="349" spans="10:34">
      <c r="J349" s="4">
        <v>339</v>
      </c>
      <c r="K349" s="21" t="str">
        <f>HYPERLINK("obsidian://open?vault=o2&amp;file=2024-10-09.md","2024-10-09")</f>
        <v>2024-10-09</v>
      </c>
      <c r="L349" s="2"/>
      <c r="M349" s="2" t="s">
        <v>3569</v>
      </c>
      <c r="N349" s="4">
        <v>1</v>
      </c>
      <c r="O349" s="2" t="s">
        <v>3663</v>
      </c>
      <c r="P349" s="11" t="s">
        <v>175</v>
      </c>
      <c r="AH349" s="11">
        <f>SUBTOTAL(3,_xlfn.SINGLE(tbl_code[RowId]))</f>
        <v>1</v>
      </c>
    </row>
    <row r="350" spans="10:34">
      <c r="J350" s="4">
        <v>340</v>
      </c>
      <c r="K350" s="21" t="str">
        <f>HYPERLINK("obsidian://open?vault=o2&amp;file=2024-10-09.md","2024-10-09")</f>
        <v>2024-10-09</v>
      </c>
      <c r="L350" s="2" t="s">
        <v>3624</v>
      </c>
      <c r="M350" s="2" t="s">
        <v>3625</v>
      </c>
      <c r="N350" s="4">
        <v>3</v>
      </c>
      <c r="O350" s="2" t="s">
        <v>3626</v>
      </c>
      <c r="P350" s="11" t="s">
        <v>175</v>
      </c>
      <c r="Q350" s="2" t="s">
        <v>3627</v>
      </c>
      <c r="R350" s="11" t="s">
        <v>175</v>
      </c>
      <c r="S350" s="2" t="s">
        <v>3628</v>
      </c>
      <c r="T350" s="11" t="s">
        <v>175</v>
      </c>
      <c r="AH350" s="11">
        <f>SUBTOTAL(3,_xlfn.SINGLE(tbl_code[RowId]))</f>
        <v>1</v>
      </c>
    </row>
    <row r="351" spans="10:34">
      <c r="J351" s="4">
        <v>341</v>
      </c>
      <c r="K351" s="21" t="str">
        <f>HYPERLINK("obsidian://open?vault=o2&amp;file=2024-10-10.md","2024-10-10")</f>
        <v>2024-10-10</v>
      </c>
      <c r="L351" s="2" t="s">
        <v>3319</v>
      </c>
      <c r="M351" s="2" t="s">
        <v>3320</v>
      </c>
      <c r="N351" s="4">
        <v>2</v>
      </c>
      <c r="O351" s="2" t="s">
        <v>3548</v>
      </c>
      <c r="P351" s="11" t="s">
        <v>175</v>
      </c>
      <c r="Q351" s="2" t="s">
        <v>3549</v>
      </c>
      <c r="R351" s="11" t="s">
        <v>175</v>
      </c>
      <c r="AH351" s="11">
        <f>SUBTOTAL(3,_xlfn.SINGLE(tbl_code[RowId]))</f>
        <v>1</v>
      </c>
    </row>
    <row r="352" spans="10:34">
      <c r="J352" s="4">
        <v>342</v>
      </c>
      <c r="K352" s="21" t="str">
        <f>HYPERLINK("obsidian://open?vault=o2&amp;file=2024-10-10.md","2024-10-10")</f>
        <v>2024-10-10</v>
      </c>
      <c r="L352" s="2" t="s">
        <v>3455</v>
      </c>
      <c r="M352" s="2" t="s">
        <v>3456</v>
      </c>
      <c r="N352" s="4">
        <v>1</v>
      </c>
      <c r="O352" s="2" t="s">
        <v>3656</v>
      </c>
      <c r="P352" s="11" t="s">
        <v>175</v>
      </c>
      <c r="AH352" s="11">
        <f>SUBTOTAL(3,_xlfn.SINGLE(tbl_code[RowId]))</f>
        <v>1</v>
      </c>
    </row>
    <row r="353" spans="10:34">
      <c r="J353" s="4">
        <v>343</v>
      </c>
      <c r="K353" s="21" t="str">
        <f>HYPERLINK("obsidian://open?vault=o2&amp;file=2024-10-10.md","2024-10-10")</f>
        <v>2024-10-10</v>
      </c>
      <c r="L353" s="2"/>
      <c r="M353" s="2" t="s">
        <v>3569</v>
      </c>
      <c r="N353" s="4">
        <v>1</v>
      </c>
      <c r="O353" s="2" t="s">
        <v>3664</v>
      </c>
      <c r="P353" s="11" t="s">
        <v>175</v>
      </c>
      <c r="AH353" s="11">
        <f>SUBTOTAL(3,_xlfn.SINGLE(tbl_code[RowId]))</f>
        <v>1</v>
      </c>
    </row>
    <row r="354" spans="10:34">
      <c r="J354" s="4">
        <v>344</v>
      </c>
      <c r="K354" s="21" t="str">
        <f>HYPERLINK("obsidian://open?vault=o2&amp;file=2024-10-10.md","2024-10-10")</f>
        <v>2024-10-10</v>
      </c>
      <c r="L354" s="2" t="s">
        <v>3624</v>
      </c>
      <c r="M354" s="2" t="s">
        <v>3625</v>
      </c>
      <c r="N354" s="4">
        <v>3</v>
      </c>
      <c r="O354" s="2" t="s">
        <v>3626</v>
      </c>
      <c r="P354" s="11" t="s">
        <v>175</v>
      </c>
      <c r="Q354" s="2" t="s">
        <v>3627</v>
      </c>
      <c r="R354" s="11" t="s">
        <v>175</v>
      </c>
      <c r="S354" s="2" t="s">
        <v>3628</v>
      </c>
      <c r="T354" s="11" t="s">
        <v>175</v>
      </c>
      <c r="AH354" s="11">
        <f>SUBTOTAL(3,_xlfn.SINGLE(tbl_code[RowId]))</f>
        <v>1</v>
      </c>
    </row>
    <row r="355" spans="10:34">
      <c r="J355" s="4">
        <v>345</v>
      </c>
      <c r="K355" s="21" t="str">
        <f>HYPERLINK("obsidian://open?vault=o2&amp;file=2024-10-12.md","2024-10-12")</f>
        <v>2024-10-12</v>
      </c>
      <c r="L355" s="2" t="s">
        <v>3319</v>
      </c>
      <c r="M355" s="2" t="s">
        <v>3320</v>
      </c>
      <c r="N355" s="4">
        <v>2</v>
      </c>
      <c r="O355" s="2" t="s">
        <v>3548</v>
      </c>
      <c r="P355" s="11" t="s">
        <v>175</v>
      </c>
      <c r="Q355" s="2" t="s">
        <v>3549</v>
      </c>
      <c r="R355" s="11" t="s">
        <v>175</v>
      </c>
      <c r="AH355" s="11">
        <f>SUBTOTAL(3,_xlfn.SINGLE(tbl_code[RowId]))</f>
        <v>1</v>
      </c>
    </row>
    <row r="356" spans="10:34">
      <c r="J356" s="4">
        <v>346</v>
      </c>
      <c r="K356" s="21" t="str">
        <f>HYPERLINK("obsidian://open?vault=o2&amp;file=2024-10-12.md","2024-10-12")</f>
        <v>2024-10-12</v>
      </c>
      <c r="L356" s="2" t="s">
        <v>3455</v>
      </c>
      <c r="M356" s="2" t="s">
        <v>3456</v>
      </c>
      <c r="N356" s="4">
        <v>1</v>
      </c>
      <c r="O356" s="2" t="s">
        <v>3656</v>
      </c>
      <c r="P356" s="11" t="s">
        <v>175</v>
      </c>
      <c r="AH356" s="11">
        <f>SUBTOTAL(3,_xlfn.SINGLE(tbl_code[RowId]))</f>
        <v>1</v>
      </c>
    </row>
    <row r="357" spans="10:34">
      <c r="J357" s="4">
        <v>347</v>
      </c>
      <c r="K357" s="21" t="str">
        <f>HYPERLINK("obsidian://open?vault=o2&amp;file=2024-10-12.md","2024-10-12")</f>
        <v>2024-10-12</v>
      </c>
      <c r="L357" s="2"/>
      <c r="M357" s="2" t="s">
        <v>3569</v>
      </c>
      <c r="N357" s="4">
        <v>1</v>
      </c>
      <c r="O357" s="2" t="s">
        <v>3665</v>
      </c>
      <c r="P357" s="11" t="s">
        <v>175</v>
      </c>
      <c r="AH357" s="11">
        <f>SUBTOTAL(3,_xlfn.SINGLE(tbl_code[RowId]))</f>
        <v>1</v>
      </c>
    </row>
    <row r="358" spans="10:34">
      <c r="J358" s="4">
        <v>348</v>
      </c>
      <c r="K358" s="21" t="str">
        <f>HYPERLINK("obsidian://open?vault=o2&amp;file=2024-10-12.md","2024-10-12")</f>
        <v>2024-10-12</v>
      </c>
      <c r="L358" s="2" t="s">
        <v>3624</v>
      </c>
      <c r="M358" s="2" t="s">
        <v>3625</v>
      </c>
      <c r="N358" s="4">
        <v>3</v>
      </c>
      <c r="O358" s="2" t="s">
        <v>3626</v>
      </c>
      <c r="P358" s="11" t="s">
        <v>175</v>
      </c>
      <c r="Q358" s="2" t="s">
        <v>3627</v>
      </c>
      <c r="R358" s="11" t="s">
        <v>175</v>
      </c>
      <c r="S358" s="2" t="s">
        <v>3628</v>
      </c>
      <c r="T358" s="11" t="s">
        <v>175</v>
      </c>
      <c r="AH358" s="11">
        <f>SUBTOTAL(3,_xlfn.SINGLE(tbl_code[RowId]))</f>
        <v>1</v>
      </c>
    </row>
    <row r="359" spans="10:34">
      <c r="J359" s="4">
        <v>349</v>
      </c>
      <c r="K359" s="21" t="str">
        <f>HYPERLINK("obsidian://open?vault=o2&amp;file=2024-10-13.md","2024-10-13")</f>
        <v>2024-10-13</v>
      </c>
      <c r="L359" s="2" t="s">
        <v>3319</v>
      </c>
      <c r="M359" s="2" t="s">
        <v>3320</v>
      </c>
      <c r="N359" s="4">
        <v>2</v>
      </c>
      <c r="O359" s="2" t="s">
        <v>3548</v>
      </c>
      <c r="P359" s="11" t="s">
        <v>175</v>
      </c>
      <c r="Q359" s="2" t="s">
        <v>3549</v>
      </c>
      <c r="R359" s="11" t="s">
        <v>175</v>
      </c>
      <c r="AH359" s="11">
        <f>SUBTOTAL(3,_xlfn.SINGLE(tbl_code[RowId]))</f>
        <v>1</v>
      </c>
    </row>
    <row r="360" spans="10:34">
      <c r="J360" s="4">
        <v>350</v>
      </c>
      <c r="K360" s="21" t="str">
        <f>HYPERLINK("obsidian://open?vault=o2&amp;file=2024-10-13.md","2024-10-13")</f>
        <v>2024-10-13</v>
      </c>
      <c r="L360" s="2" t="s">
        <v>3455</v>
      </c>
      <c r="M360" s="2" t="s">
        <v>3456</v>
      </c>
      <c r="N360" s="4">
        <v>1</v>
      </c>
      <c r="O360" s="2" t="s">
        <v>3656</v>
      </c>
      <c r="P360" s="11" t="s">
        <v>175</v>
      </c>
      <c r="AH360" s="11">
        <f>SUBTOTAL(3,_xlfn.SINGLE(tbl_code[RowId]))</f>
        <v>1</v>
      </c>
    </row>
    <row r="361" spans="10:34">
      <c r="J361" s="4">
        <v>351</v>
      </c>
      <c r="K361" s="21" t="str">
        <f>HYPERLINK("obsidian://open?vault=o2&amp;file=2024-10-13.md","2024-10-13")</f>
        <v>2024-10-13</v>
      </c>
      <c r="L361" s="2"/>
      <c r="M361" s="2" t="s">
        <v>3569</v>
      </c>
      <c r="N361" s="4">
        <v>1</v>
      </c>
      <c r="O361" s="2" t="s">
        <v>3666</v>
      </c>
      <c r="P361" s="11" t="s">
        <v>175</v>
      </c>
      <c r="AH361" s="11">
        <f>SUBTOTAL(3,_xlfn.SINGLE(tbl_code[RowId]))</f>
        <v>1</v>
      </c>
    </row>
    <row r="362" spans="10:34">
      <c r="J362" s="4">
        <v>352</v>
      </c>
      <c r="K362" s="21" t="str">
        <f>HYPERLINK("obsidian://open?vault=o2&amp;file=2024-10-13.md","2024-10-13")</f>
        <v>2024-10-13</v>
      </c>
      <c r="L362" s="2" t="s">
        <v>3624</v>
      </c>
      <c r="M362" s="2" t="s">
        <v>3625</v>
      </c>
      <c r="N362" s="4">
        <v>3</v>
      </c>
      <c r="O362" s="2" t="s">
        <v>3626</v>
      </c>
      <c r="P362" s="11" t="s">
        <v>175</v>
      </c>
      <c r="Q362" s="2" t="s">
        <v>3627</v>
      </c>
      <c r="R362" s="11" t="s">
        <v>175</v>
      </c>
      <c r="S362" s="2" t="s">
        <v>3628</v>
      </c>
      <c r="T362" s="11" t="s">
        <v>175</v>
      </c>
      <c r="AH362" s="11">
        <f>SUBTOTAL(3,_xlfn.SINGLE(tbl_code[RowId]))</f>
        <v>1</v>
      </c>
    </row>
    <row r="363" spans="10:34">
      <c r="J363" s="4">
        <v>353</v>
      </c>
      <c r="K363" s="21" t="str">
        <f>HYPERLINK("obsidian://open?vault=o2&amp;file=2024-10-14.md","2024-10-14")</f>
        <v>2024-10-14</v>
      </c>
      <c r="L363" s="2" t="s">
        <v>3319</v>
      </c>
      <c r="M363" s="2" t="s">
        <v>3320</v>
      </c>
      <c r="N363" s="4">
        <v>2</v>
      </c>
      <c r="O363" s="2" t="s">
        <v>3548</v>
      </c>
      <c r="P363" s="11" t="s">
        <v>175</v>
      </c>
      <c r="Q363" s="2" t="s">
        <v>3549</v>
      </c>
      <c r="R363" s="11" t="s">
        <v>175</v>
      </c>
      <c r="AH363" s="11">
        <f>SUBTOTAL(3,_xlfn.SINGLE(tbl_code[RowId]))</f>
        <v>1</v>
      </c>
    </row>
    <row r="364" spans="10:34">
      <c r="J364" s="4">
        <v>354</v>
      </c>
      <c r="K364" s="21" t="str">
        <f>HYPERLINK("obsidian://open?vault=o2&amp;file=2024-10-14.md","2024-10-14")</f>
        <v>2024-10-14</v>
      </c>
      <c r="L364" s="2" t="s">
        <v>3455</v>
      </c>
      <c r="M364" s="2" t="s">
        <v>3456</v>
      </c>
      <c r="N364" s="4">
        <v>1</v>
      </c>
      <c r="O364" s="2" t="s">
        <v>3656</v>
      </c>
      <c r="P364" s="11" t="s">
        <v>175</v>
      </c>
      <c r="AH364" s="11">
        <f>SUBTOTAL(3,_xlfn.SINGLE(tbl_code[RowId]))</f>
        <v>1</v>
      </c>
    </row>
    <row r="365" spans="10:34">
      <c r="J365" s="4">
        <v>355</v>
      </c>
      <c r="K365" s="21" t="str">
        <f>HYPERLINK("obsidian://open?vault=o2&amp;file=2024-10-14.md","2024-10-14")</f>
        <v>2024-10-14</v>
      </c>
      <c r="L365" s="2"/>
      <c r="M365" s="2" t="s">
        <v>3569</v>
      </c>
      <c r="N365" s="4">
        <v>1</v>
      </c>
      <c r="O365" s="2" t="s">
        <v>3667</v>
      </c>
      <c r="P365" s="11" t="s">
        <v>175</v>
      </c>
      <c r="AH365" s="11">
        <f>SUBTOTAL(3,_xlfn.SINGLE(tbl_code[RowId]))</f>
        <v>1</v>
      </c>
    </row>
    <row r="366" spans="10:34">
      <c r="J366" s="4">
        <v>356</v>
      </c>
      <c r="K366" s="21" t="str">
        <f>HYPERLINK("obsidian://open?vault=o2&amp;file=2024-10-14.md","2024-10-14")</f>
        <v>2024-10-14</v>
      </c>
      <c r="L366" s="2" t="s">
        <v>3624</v>
      </c>
      <c r="M366" s="2" t="s">
        <v>3625</v>
      </c>
      <c r="N366" s="4">
        <v>3</v>
      </c>
      <c r="O366" s="2" t="s">
        <v>3626</v>
      </c>
      <c r="P366" s="11" t="s">
        <v>175</v>
      </c>
      <c r="Q366" s="2" t="s">
        <v>3627</v>
      </c>
      <c r="R366" s="11" t="s">
        <v>175</v>
      </c>
      <c r="S366" s="2" t="s">
        <v>3628</v>
      </c>
      <c r="T366" s="11" t="s">
        <v>175</v>
      </c>
      <c r="AH366" s="11">
        <f>SUBTOTAL(3,_xlfn.SINGLE(tbl_code[RowId]))</f>
        <v>1</v>
      </c>
    </row>
    <row r="367" spans="10:34">
      <c r="J367" s="4">
        <v>357</v>
      </c>
      <c r="K367" s="21" t="str">
        <f>HYPERLINK("obsidian://open?vault=o2&amp;file=2024-10-18.md","2024-10-18")</f>
        <v>2024-10-18</v>
      </c>
      <c r="L367" s="2" t="s">
        <v>3319</v>
      </c>
      <c r="M367" s="2" t="s">
        <v>3320</v>
      </c>
      <c r="N367" s="4">
        <v>2</v>
      </c>
      <c r="O367" s="2" t="s">
        <v>3548</v>
      </c>
      <c r="P367" s="11" t="s">
        <v>175</v>
      </c>
      <c r="Q367" s="2" t="s">
        <v>3549</v>
      </c>
      <c r="R367" s="11" t="s">
        <v>175</v>
      </c>
      <c r="AH367" s="11">
        <f>SUBTOTAL(3,_xlfn.SINGLE(tbl_code[RowId]))</f>
        <v>1</v>
      </c>
    </row>
    <row r="368" spans="10:34">
      <c r="J368" s="4">
        <v>358</v>
      </c>
      <c r="K368" s="21" t="str">
        <f>HYPERLINK("obsidian://open?vault=o2&amp;file=2024-10-18.md","2024-10-18")</f>
        <v>2024-10-18</v>
      </c>
      <c r="L368" s="2" t="s">
        <v>3455</v>
      </c>
      <c r="M368" s="2" t="s">
        <v>3456</v>
      </c>
      <c r="N368" s="4">
        <v>1</v>
      </c>
      <c r="O368" s="2" t="s">
        <v>3656</v>
      </c>
      <c r="P368" s="11" t="s">
        <v>175</v>
      </c>
      <c r="AH368" s="11">
        <f>SUBTOTAL(3,_xlfn.SINGLE(tbl_code[RowId]))</f>
        <v>1</v>
      </c>
    </row>
    <row r="369" spans="10:34">
      <c r="J369" s="4">
        <v>359</v>
      </c>
      <c r="K369" s="21" t="str">
        <f>HYPERLINK("obsidian://open?vault=o2&amp;file=2024-10-18.md","2024-10-18")</f>
        <v>2024-10-18</v>
      </c>
      <c r="L369" s="2"/>
      <c r="M369" s="2" t="s">
        <v>3569</v>
      </c>
      <c r="N369" s="4">
        <v>1</v>
      </c>
      <c r="O369" s="2" t="s">
        <v>3668</v>
      </c>
      <c r="P369" s="11" t="s">
        <v>175</v>
      </c>
      <c r="AH369" s="11">
        <f>SUBTOTAL(3,_xlfn.SINGLE(tbl_code[RowId]))</f>
        <v>1</v>
      </c>
    </row>
    <row r="370" spans="10:34">
      <c r="J370" s="4">
        <v>360</v>
      </c>
      <c r="K370" s="21" t="str">
        <f>HYPERLINK("obsidian://open?vault=o2&amp;file=2024-10-18.md","2024-10-18")</f>
        <v>2024-10-18</v>
      </c>
      <c r="L370" s="2" t="s">
        <v>3624</v>
      </c>
      <c r="M370" s="2" t="s">
        <v>3625</v>
      </c>
      <c r="N370" s="4">
        <v>3</v>
      </c>
      <c r="O370" s="2" t="s">
        <v>3626</v>
      </c>
      <c r="P370" s="11" t="s">
        <v>175</v>
      </c>
      <c r="Q370" s="2" t="s">
        <v>3627</v>
      </c>
      <c r="R370" s="11" t="s">
        <v>175</v>
      </c>
      <c r="S370" s="2" t="s">
        <v>3628</v>
      </c>
      <c r="T370" s="11" t="s">
        <v>175</v>
      </c>
      <c r="AH370" s="11">
        <f>SUBTOTAL(3,_xlfn.SINGLE(tbl_code[RowId]))</f>
        <v>1</v>
      </c>
    </row>
    <row r="371" spans="10:34">
      <c r="J371" s="4">
        <v>361</v>
      </c>
      <c r="K371" s="21" t="str">
        <f>HYPERLINK("obsidian://open?vault=o2&amp;file=2024-10-21.md","2024-10-21")</f>
        <v>2024-10-21</v>
      </c>
      <c r="L371" s="2" t="s">
        <v>3319</v>
      </c>
      <c r="M371" s="2" t="s">
        <v>3320</v>
      </c>
      <c r="N371" s="4">
        <v>2</v>
      </c>
      <c r="O371" s="2" t="s">
        <v>3548</v>
      </c>
      <c r="P371" s="11" t="s">
        <v>175</v>
      </c>
      <c r="Q371" s="2" t="s">
        <v>3549</v>
      </c>
      <c r="R371" s="11" t="s">
        <v>175</v>
      </c>
      <c r="AH371" s="11">
        <f>SUBTOTAL(3,_xlfn.SINGLE(tbl_code[RowId]))</f>
        <v>1</v>
      </c>
    </row>
    <row r="372" spans="10:34">
      <c r="J372" s="4">
        <v>362</v>
      </c>
      <c r="K372" s="21" t="str">
        <f>HYPERLINK("obsidian://open?vault=o2&amp;file=2024-10-21.md","2024-10-21")</f>
        <v>2024-10-21</v>
      </c>
      <c r="L372" s="2" t="s">
        <v>3455</v>
      </c>
      <c r="M372" s="2" t="s">
        <v>3456</v>
      </c>
      <c r="N372" s="4">
        <v>1</v>
      </c>
      <c r="O372" s="2" t="s">
        <v>3656</v>
      </c>
      <c r="P372" s="11" t="s">
        <v>175</v>
      </c>
      <c r="AH372" s="11">
        <f>SUBTOTAL(3,_xlfn.SINGLE(tbl_code[RowId]))</f>
        <v>1</v>
      </c>
    </row>
    <row r="373" spans="10:34">
      <c r="J373" s="4">
        <v>363</v>
      </c>
      <c r="K373" s="21" t="str">
        <f>HYPERLINK("obsidian://open?vault=o2&amp;file=2024-10-21.md","2024-10-21")</f>
        <v>2024-10-21</v>
      </c>
      <c r="L373" s="2"/>
      <c r="M373" s="2" t="s">
        <v>3569</v>
      </c>
      <c r="N373" s="4">
        <v>1</v>
      </c>
      <c r="O373" s="2" t="s">
        <v>3669</v>
      </c>
      <c r="P373" s="11" t="s">
        <v>175</v>
      </c>
      <c r="AH373" s="11">
        <f>SUBTOTAL(3,_xlfn.SINGLE(tbl_code[RowId]))</f>
        <v>1</v>
      </c>
    </row>
    <row r="374" spans="10:34">
      <c r="J374" s="4">
        <v>364</v>
      </c>
      <c r="K374" s="21" t="str">
        <f>HYPERLINK("obsidian://open?vault=o2&amp;file=2024-10-21.md","2024-10-21")</f>
        <v>2024-10-21</v>
      </c>
      <c r="L374" s="2" t="s">
        <v>3624</v>
      </c>
      <c r="M374" s="2" t="s">
        <v>3625</v>
      </c>
      <c r="N374" s="4">
        <v>3</v>
      </c>
      <c r="O374" s="2" t="s">
        <v>3626</v>
      </c>
      <c r="P374" s="11" t="s">
        <v>175</v>
      </c>
      <c r="Q374" s="2" t="s">
        <v>3627</v>
      </c>
      <c r="R374" s="11" t="s">
        <v>175</v>
      </c>
      <c r="S374" s="2" t="s">
        <v>3628</v>
      </c>
      <c r="T374" s="11" t="s">
        <v>175</v>
      </c>
      <c r="AH374" s="11">
        <f>SUBTOTAL(3,_xlfn.SINGLE(tbl_code[RowId]))</f>
        <v>1</v>
      </c>
    </row>
    <row r="375" spans="10:34">
      <c r="J375" s="4">
        <v>365</v>
      </c>
      <c r="K375" s="21" t="str">
        <f>HYPERLINK("obsidian://open?vault=o2&amp;file=2024-10-24.md","2024-10-24")</f>
        <v>2024-10-24</v>
      </c>
      <c r="L375" s="2" t="s">
        <v>3319</v>
      </c>
      <c r="M375" s="2" t="s">
        <v>3320</v>
      </c>
      <c r="N375" s="4">
        <v>2</v>
      </c>
      <c r="O375" s="2" t="s">
        <v>3548</v>
      </c>
      <c r="P375" s="11" t="s">
        <v>175</v>
      </c>
      <c r="Q375" s="2" t="s">
        <v>3549</v>
      </c>
      <c r="R375" s="11" t="s">
        <v>175</v>
      </c>
      <c r="AH375" s="11">
        <f>SUBTOTAL(3,_xlfn.SINGLE(tbl_code[RowId]))</f>
        <v>1</v>
      </c>
    </row>
    <row r="376" spans="10:34">
      <c r="J376" s="4">
        <v>366</v>
      </c>
      <c r="K376" s="21" t="str">
        <f>HYPERLINK("obsidian://open?vault=o2&amp;file=2024-10-24.md","2024-10-24")</f>
        <v>2024-10-24</v>
      </c>
      <c r="L376" s="2" t="s">
        <v>3455</v>
      </c>
      <c r="M376" s="2" t="s">
        <v>3456</v>
      </c>
      <c r="N376" s="4">
        <v>1</v>
      </c>
      <c r="O376" s="2" t="s">
        <v>3656</v>
      </c>
      <c r="P376" s="11" t="s">
        <v>175</v>
      </c>
      <c r="AH376" s="11">
        <f>SUBTOTAL(3,_xlfn.SINGLE(tbl_code[RowId]))</f>
        <v>1</v>
      </c>
    </row>
    <row r="377" spans="10:34">
      <c r="J377" s="4">
        <v>367</v>
      </c>
      <c r="K377" s="21" t="str">
        <f>HYPERLINK("obsidian://open?vault=o2&amp;file=2024-10-24.md","2024-10-24")</f>
        <v>2024-10-24</v>
      </c>
      <c r="L377" s="2"/>
      <c r="M377" s="2" t="s">
        <v>3569</v>
      </c>
      <c r="N377" s="4">
        <v>1</v>
      </c>
      <c r="O377" s="2" t="s">
        <v>3670</v>
      </c>
      <c r="P377" s="11" t="s">
        <v>175</v>
      </c>
      <c r="AH377" s="11">
        <f>SUBTOTAL(3,_xlfn.SINGLE(tbl_code[RowId]))</f>
        <v>1</v>
      </c>
    </row>
    <row r="378" spans="10:34">
      <c r="J378" s="4">
        <v>368</v>
      </c>
      <c r="K378" s="21" t="str">
        <f>HYPERLINK("obsidian://open?vault=o2&amp;file=2024-10-24.md","2024-10-24")</f>
        <v>2024-10-24</v>
      </c>
      <c r="L378" s="2" t="s">
        <v>3624</v>
      </c>
      <c r="M378" s="2" t="s">
        <v>3625</v>
      </c>
      <c r="N378" s="4">
        <v>3</v>
      </c>
      <c r="O378" s="2" t="s">
        <v>3626</v>
      </c>
      <c r="P378" s="11" t="s">
        <v>175</v>
      </c>
      <c r="Q378" s="2" t="s">
        <v>3627</v>
      </c>
      <c r="R378" s="11" t="s">
        <v>175</v>
      </c>
      <c r="S378" s="2" t="s">
        <v>3628</v>
      </c>
      <c r="T378" s="11" t="s">
        <v>175</v>
      </c>
      <c r="AH378" s="11">
        <f>SUBTOTAL(3,_xlfn.SINGLE(tbl_code[RowId]))</f>
        <v>1</v>
      </c>
    </row>
    <row r="379" spans="10:34">
      <c r="J379" s="4">
        <v>369</v>
      </c>
      <c r="K379" s="21" t="str">
        <f>HYPERLINK("obsidian://open?vault=o2&amp;file=2024-10-25.md","2024-10-25")</f>
        <v>2024-10-25</v>
      </c>
      <c r="L379" s="2" t="s">
        <v>3319</v>
      </c>
      <c r="M379" s="2" t="s">
        <v>3320</v>
      </c>
      <c r="N379" s="4">
        <v>2</v>
      </c>
      <c r="O379" s="2" t="s">
        <v>3548</v>
      </c>
      <c r="P379" s="11" t="s">
        <v>175</v>
      </c>
      <c r="Q379" s="2" t="s">
        <v>3549</v>
      </c>
      <c r="R379" s="11" t="s">
        <v>175</v>
      </c>
      <c r="AH379" s="11">
        <f>SUBTOTAL(3,_xlfn.SINGLE(tbl_code[RowId]))</f>
        <v>1</v>
      </c>
    </row>
    <row r="380" spans="10:34">
      <c r="J380" s="4">
        <v>370</v>
      </c>
      <c r="K380" s="21" t="str">
        <f>HYPERLINK("obsidian://open?vault=o2&amp;file=2024-10-25.md","2024-10-25")</f>
        <v>2024-10-25</v>
      </c>
      <c r="L380" s="2" t="s">
        <v>3455</v>
      </c>
      <c r="M380" s="2" t="s">
        <v>3456</v>
      </c>
      <c r="N380" s="4">
        <v>1</v>
      </c>
      <c r="O380" s="2" t="s">
        <v>3656</v>
      </c>
      <c r="P380" s="11" t="s">
        <v>175</v>
      </c>
      <c r="AH380" s="11">
        <f>SUBTOTAL(3,_xlfn.SINGLE(tbl_code[RowId]))</f>
        <v>1</v>
      </c>
    </row>
    <row r="381" spans="10:34">
      <c r="J381" s="4">
        <v>371</v>
      </c>
      <c r="K381" s="21" t="str">
        <f>HYPERLINK("obsidian://open?vault=o2&amp;file=2024-10-25.md","2024-10-25")</f>
        <v>2024-10-25</v>
      </c>
      <c r="L381" s="2"/>
      <c r="M381" s="2" t="s">
        <v>3569</v>
      </c>
      <c r="N381" s="4">
        <v>1</v>
      </c>
      <c r="O381" s="2" t="s">
        <v>3671</v>
      </c>
      <c r="P381" s="11" t="s">
        <v>175</v>
      </c>
      <c r="AH381" s="11">
        <f>SUBTOTAL(3,_xlfn.SINGLE(tbl_code[RowId]))</f>
        <v>1</v>
      </c>
    </row>
    <row r="382" spans="10:34">
      <c r="J382" s="4">
        <v>372</v>
      </c>
      <c r="K382" s="21" t="str">
        <f>HYPERLINK("obsidian://open?vault=o2&amp;file=2024-10-25.md","2024-10-25")</f>
        <v>2024-10-25</v>
      </c>
      <c r="L382" s="2" t="s">
        <v>3624</v>
      </c>
      <c r="M382" s="2" t="s">
        <v>3625</v>
      </c>
      <c r="N382" s="4">
        <v>3</v>
      </c>
      <c r="O382" s="2" t="s">
        <v>3626</v>
      </c>
      <c r="P382" s="11" t="s">
        <v>175</v>
      </c>
      <c r="Q382" s="2" t="s">
        <v>3627</v>
      </c>
      <c r="R382" s="11" t="s">
        <v>175</v>
      </c>
      <c r="S382" s="2" t="s">
        <v>3628</v>
      </c>
      <c r="T382" s="11" t="s">
        <v>175</v>
      </c>
      <c r="AH382" s="11">
        <f>SUBTOTAL(3,_xlfn.SINGLE(tbl_code[RowId]))</f>
        <v>1</v>
      </c>
    </row>
    <row r="383" spans="10:34">
      <c r="J383" s="4">
        <v>373</v>
      </c>
      <c r="K383" s="21" t="str">
        <f>HYPERLINK("obsidian://open?vault=o2&amp;file=2024-10-28.md","2024-10-28")</f>
        <v>2024-10-28</v>
      </c>
      <c r="L383" s="2" t="s">
        <v>3319</v>
      </c>
      <c r="M383" s="2" t="s">
        <v>3320</v>
      </c>
      <c r="N383" s="4">
        <v>2</v>
      </c>
      <c r="O383" s="2" t="s">
        <v>3548</v>
      </c>
      <c r="P383" s="11" t="s">
        <v>175</v>
      </c>
      <c r="Q383" s="2" t="s">
        <v>3549</v>
      </c>
      <c r="R383" s="11" t="s">
        <v>175</v>
      </c>
      <c r="AH383" s="11">
        <f>SUBTOTAL(3,_xlfn.SINGLE(tbl_code[RowId]))</f>
        <v>1</v>
      </c>
    </row>
    <row r="384" spans="10:34">
      <c r="J384" s="4">
        <v>374</v>
      </c>
      <c r="K384" s="21" t="str">
        <f>HYPERLINK("obsidian://open?vault=o2&amp;file=2024-10-28.md","2024-10-28")</f>
        <v>2024-10-28</v>
      </c>
      <c r="L384" s="2" t="s">
        <v>3455</v>
      </c>
      <c r="M384" s="2" t="s">
        <v>3456</v>
      </c>
      <c r="N384" s="4">
        <v>1</v>
      </c>
      <c r="O384" s="2" t="s">
        <v>3656</v>
      </c>
      <c r="P384" s="11" t="s">
        <v>175</v>
      </c>
      <c r="AH384" s="11">
        <f>SUBTOTAL(3,_xlfn.SINGLE(tbl_code[RowId]))</f>
        <v>1</v>
      </c>
    </row>
    <row r="385" spans="10:34">
      <c r="J385" s="4">
        <v>375</v>
      </c>
      <c r="K385" s="21" t="str">
        <f>HYPERLINK("obsidian://open?vault=o2&amp;file=2024-10-28.md","2024-10-28")</f>
        <v>2024-10-28</v>
      </c>
      <c r="L385" s="2"/>
      <c r="M385" s="2" t="s">
        <v>3569</v>
      </c>
      <c r="N385" s="4">
        <v>1</v>
      </c>
      <c r="O385" s="2" t="s">
        <v>3672</v>
      </c>
      <c r="P385" s="11" t="s">
        <v>175</v>
      </c>
      <c r="AH385" s="11">
        <f>SUBTOTAL(3,_xlfn.SINGLE(tbl_code[RowId]))</f>
        <v>1</v>
      </c>
    </row>
    <row r="386" spans="10:34">
      <c r="J386" s="4">
        <v>376</v>
      </c>
      <c r="K386" s="21" t="str">
        <f>HYPERLINK("obsidian://open?vault=o2&amp;file=2024-10-28.md","2024-10-28")</f>
        <v>2024-10-28</v>
      </c>
      <c r="L386" s="2" t="s">
        <v>3624</v>
      </c>
      <c r="M386" s="2" t="s">
        <v>3625</v>
      </c>
      <c r="N386" s="4">
        <v>3</v>
      </c>
      <c r="O386" s="2" t="s">
        <v>3626</v>
      </c>
      <c r="P386" s="11" t="s">
        <v>175</v>
      </c>
      <c r="Q386" s="2" t="s">
        <v>3627</v>
      </c>
      <c r="R386" s="11" t="s">
        <v>175</v>
      </c>
      <c r="S386" s="2" t="s">
        <v>3628</v>
      </c>
      <c r="T386" s="11" t="s">
        <v>175</v>
      </c>
      <c r="AH386" s="11">
        <f>SUBTOTAL(3,_xlfn.SINGLE(tbl_code[RowId]))</f>
        <v>1</v>
      </c>
    </row>
    <row r="387" spans="10:34">
      <c r="J387" s="4">
        <v>377</v>
      </c>
      <c r="K387" s="21" t="str">
        <f>HYPERLINK("obsidian://open?vault=o2&amp;file=2024-10-30.md","2024-10-30")</f>
        <v>2024-10-30</v>
      </c>
      <c r="L387" s="2" t="s">
        <v>3319</v>
      </c>
      <c r="M387" s="2" t="s">
        <v>3320</v>
      </c>
      <c r="N387" s="4">
        <v>2</v>
      </c>
      <c r="O387" s="2" t="s">
        <v>3548</v>
      </c>
      <c r="P387" s="11" t="s">
        <v>175</v>
      </c>
      <c r="Q387" s="2" t="s">
        <v>3549</v>
      </c>
      <c r="R387" s="11" t="s">
        <v>175</v>
      </c>
      <c r="AH387" s="11">
        <f>SUBTOTAL(3,_xlfn.SINGLE(tbl_code[RowId]))</f>
        <v>1</v>
      </c>
    </row>
    <row r="388" spans="10:34">
      <c r="J388" s="4">
        <v>378</v>
      </c>
      <c r="K388" s="21" t="str">
        <f>HYPERLINK("obsidian://open?vault=o2&amp;file=2024-10-30.md","2024-10-30")</f>
        <v>2024-10-30</v>
      </c>
      <c r="L388" s="2" t="s">
        <v>3455</v>
      </c>
      <c r="M388" s="2" t="s">
        <v>3456</v>
      </c>
      <c r="N388" s="4">
        <v>1</v>
      </c>
      <c r="O388" s="2" t="s">
        <v>3656</v>
      </c>
      <c r="P388" s="11" t="s">
        <v>175</v>
      </c>
      <c r="AH388" s="11">
        <f>SUBTOTAL(3,_xlfn.SINGLE(tbl_code[RowId]))</f>
        <v>1</v>
      </c>
    </row>
    <row r="389" spans="10:34">
      <c r="J389" s="4">
        <v>379</v>
      </c>
      <c r="K389" s="21" t="str">
        <f>HYPERLINK("obsidian://open?vault=o2&amp;file=2024-10-30.md","2024-10-30")</f>
        <v>2024-10-30</v>
      </c>
      <c r="L389" s="2"/>
      <c r="M389" s="2" t="s">
        <v>3569</v>
      </c>
      <c r="N389" s="4">
        <v>1</v>
      </c>
      <c r="O389" s="2" t="s">
        <v>3673</v>
      </c>
      <c r="P389" s="11" t="s">
        <v>175</v>
      </c>
      <c r="AH389" s="11">
        <f>SUBTOTAL(3,_xlfn.SINGLE(tbl_code[RowId]))</f>
        <v>1</v>
      </c>
    </row>
    <row r="390" spans="10:34">
      <c r="J390" s="4">
        <v>380</v>
      </c>
      <c r="K390" s="21" t="str">
        <f>HYPERLINK("obsidian://open?vault=o2&amp;file=2024-10-30.md","2024-10-30")</f>
        <v>2024-10-30</v>
      </c>
      <c r="L390" s="2" t="s">
        <v>3624</v>
      </c>
      <c r="M390" s="2" t="s">
        <v>3625</v>
      </c>
      <c r="N390" s="4">
        <v>3</v>
      </c>
      <c r="O390" s="2" t="s">
        <v>3626</v>
      </c>
      <c r="P390" s="11" t="s">
        <v>175</v>
      </c>
      <c r="Q390" s="2" t="s">
        <v>3627</v>
      </c>
      <c r="R390" s="11" t="s">
        <v>175</v>
      </c>
      <c r="S390" s="2" t="s">
        <v>3628</v>
      </c>
      <c r="T390" s="11" t="s">
        <v>175</v>
      </c>
      <c r="AH390" s="11">
        <f>SUBTOTAL(3,_xlfn.SINGLE(tbl_code[RowId]))</f>
        <v>1</v>
      </c>
    </row>
    <row r="391" spans="10:34">
      <c r="J391" s="4">
        <v>381</v>
      </c>
      <c r="K391" s="21" t="str">
        <f>HYPERLINK("obsidian://open?vault=o2&amp;file=2024-11-02.md","2024-11-02")</f>
        <v>2024-11-02</v>
      </c>
      <c r="L391" s="2" t="s">
        <v>3319</v>
      </c>
      <c r="M391" s="2" t="s">
        <v>3320</v>
      </c>
      <c r="N391" s="4">
        <v>2</v>
      </c>
      <c r="O391" s="2" t="s">
        <v>3548</v>
      </c>
      <c r="P391" s="11" t="s">
        <v>175</v>
      </c>
      <c r="Q391" s="2" t="s">
        <v>3549</v>
      </c>
      <c r="R391" s="11" t="s">
        <v>175</v>
      </c>
      <c r="AH391" s="11">
        <f>SUBTOTAL(3,_xlfn.SINGLE(tbl_code[RowId]))</f>
        <v>1</v>
      </c>
    </row>
    <row r="392" spans="10:34">
      <c r="J392" s="4">
        <v>382</v>
      </c>
      <c r="K392" s="21" t="str">
        <f>HYPERLINK("obsidian://open?vault=o2&amp;file=2024-11-02.md","2024-11-02")</f>
        <v>2024-11-02</v>
      </c>
      <c r="L392" s="2" t="s">
        <v>3455</v>
      </c>
      <c r="M392" s="2" t="s">
        <v>3456</v>
      </c>
      <c r="N392" s="4">
        <v>1</v>
      </c>
      <c r="O392" s="2" t="s">
        <v>3656</v>
      </c>
      <c r="P392" s="11" t="s">
        <v>175</v>
      </c>
      <c r="AH392" s="11">
        <f>SUBTOTAL(3,_xlfn.SINGLE(tbl_code[RowId]))</f>
        <v>1</v>
      </c>
    </row>
    <row r="393" spans="10:34">
      <c r="J393" s="4">
        <v>383</v>
      </c>
      <c r="K393" s="21" t="str">
        <f>HYPERLINK("obsidian://open?vault=o2&amp;file=2024-11-02.md","2024-11-02")</f>
        <v>2024-11-02</v>
      </c>
      <c r="L393" s="2"/>
      <c r="M393" s="2" t="s">
        <v>3569</v>
      </c>
      <c r="N393" s="4">
        <v>1</v>
      </c>
      <c r="O393" s="2" t="s">
        <v>3674</v>
      </c>
      <c r="P393" s="11" t="s">
        <v>175</v>
      </c>
      <c r="AH393" s="11">
        <f>SUBTOTAL(3,_xlfn.SINGLE(tbl_code[RowId]))</f>
        <v>1</v>
      </c>
    </row>
    <row r="394" spans="10:34">
      <c r="J394" s="4">
        <v>384</v>
      </c>
      <c r="K394" s="21" t="str">
        <f>HYPERLINK("obsidian://open?vault=o2&amp;file=2024-11-02.md","2024-11-02")</f>
        <v>2024-11-02</v>
      </c>
      <c r="L394" s="2" t="s">
        <v>3624</v>
      </c>
      <c r="M394" s="2" t="s">
        <v>3625</v>
      </c>
      <c r="N394" s="4">
        <v>3</v>
      </c>
      <c r="O394" s="2" t="s">
        <v>3626</v>
      </c>
      <c r="P394" s="11" t="s">
        <v>175</v>
      </c>
      <c r="Q394" s="2" t="s">
        <v>3627</v>
      </c>
      <c r="R394" s="11" t="s">
        <v>175</v>
      </c>
      <c r="S394" s="2" t="s">
        <v>3628</v>
      </c>
      <c r="T394" s="11" t="s">
        <v>175</v>
      </c>
      <c r="AH394" s="11">
        <f>SUBTOTAL(3,_xlfn.SINGLE(tbl_code[RowId]))</f>
        <v>1</v>
      </c>
    </row>
    <row r="395" spans="10:34">
      <c r="J395" s="4">
        <v>385</v>
      </c>
      <c r="K395" s="21" t="str">
        <f>HYPERLINK("obsidian://open?vault=o2&amp;file=2024-11-03.md","2024-11-03")</f>
        <v>2024-11-03</v>
      </c>
      <c r="L395" s="2" t="s">
        <v>3319</v>
      </c>
      <c r="M395" s="2" t="s">
        <v>3320</v>
      </c>
      <c r="N395" s="4">
        <v>2</v>
      </c>
      <c r="O395" s="2" t="s">
        <v>3548</v>
      </c>
      <c r="P395" s="11" t="s">
        <v>175</v>
      </c>
      <c r="Q395" s="2" t="s">
        <v>3549</v>
      </c>
      <c r="R395" s="11" t="s">
        <v>175</v>
      </c>
      <c r="AH395" s="11">
        <f>SUBTOTAL(3,_xlfn.SINGLE(tbl_code[RowId]))</f>
        <v>1</v>
      </c>
    </row>
    <row r="396" spans="10:34">
      <c r="J396" s="4">
        <v>386</v>
      </c>
      <c r="K396" s="21" t="str">
        <f>HYPERLINK("obsidian://open?vault=o2&amp;file=2024-11-03.md","2024-11-03")</f>
        <v>2024-11-03</v>
      </c>
      <c r="L396" s="2" t="s">
        <v>3455</v>
      </c>
      <c r="M396" s="2" t="s">
        <v>3456</v>
      </c>
      <c r="N396" s="4">
        <v>1</v>
      </c>
      <c r="O396" s="2" t="s">
        <v>3656</v>
      </c>
      <c r="P396" s="11" t="s">
        <v>175</v>
      </c>
      <c r="AH396" s="11">
        <f>SUBTOTAL(3,_xlfn.SINGLE(tbl_code[RowId]))</f>
        <v>1</v>
      </c>
    </row>
    <row r="397" spans="10:34">
      <c r="J397" s="4">
        <v>387</v>
      </c>
      <c r="K397" s="21" t="str">
        <f>HYPERLINK("obsidian://open?vault=o2&amp;file=2024-11-03.md","2024-11-03")</f>
        <v>2024-11-03</v>
      </c>
      <c r="L397" s="2"/>
      <c r="M397" s="2" t="s">
        <v>3569</v>
      </c>
      <c r="N397" s="4">
        <v>1</v>
      </c>
      <c r="O397" s="2" t="s">
        <v>3675</v>
      </c>
      <c r="P397" s="11" t="s">
        <v>175</v>
      </c>
      <c r="AH397" s="11">
        <f>SUBTOTAL(3,_xlfn.SINGLE(tbl_code[RowId]))</f>
        <v>1</v>
      </c>
    </row>
    <row r="398" spans="10:34">
      <c r="J398" s="4">
        <v>388</v>
      </c>
      <c r="K398" s="21" t="str">
        <f>HYPERLINK("obsidian://open?vault=o2&amp;file=2024-11-03.md","2024-11-03")</f>
        <v>2024-11-03</v>
      </c>
      <c r="L398" s="2" t="s">
        <v>3624</v>
      </c>
      <c r="M398" s="2" t="s">
        <v>3625</v>
      </c>
      <c r="N398" s="4">
        <v>3</v>
      </c>
      <c r="O398" s="2" t="s">
        <v>3626</v>
      </c>
      <c r="P398" s="11" t="s">
        <v>175</v>
      </c>
      <c r="Q398" s="2" t="s">
        <v>3627</v>
      </c>
      <c r="R398" s="11" t="s">
        <v>175</v>
      </c>
      <c r="S398" s="2" t="s">
        <v>3628</v>
      </c>
      <c r="T398" s="11" t="s">
        <v>175</v>
      </c>
      <c r="AH398" s="11">
        <f>SUBTOTAL(3,_xlfn.SINGLE(tbl_code[RowId]))</f>
        <v>1</v>
      </c>
    </row>
    <row r="399" spans="10:34">
      <c r="J399" s="4">
        <v>389</v>
      </c>
      <c r="K399" s="21" t="str">
        <f>HYPERLINK("obsidian://open?vault=o2&amp;file=2024-11-05.md","2024-11-05")</f>
        <v>2024-11-05</v>
      </c>
      <c r="L399" s="2" t="s">
        <v>3319</v>
      </c>
      <c r="M399" s="2" t="s">
        <v>3320</v>
      </c>
      <c r="N399" s="4">
        <v>2</v>
      </c>
      <c r="O399" s="2" t="s">
        <v>3548</v>
      </c>
      <c r="P399" s="11" t="s">
        <v>175</v>
      </c>
      <c r="Q399" s="2" t="s">
        <v>3549</v>
      </c>
      <c r="R399" s="11" t="s">
        <v>175</v>
      </c>
      <c r="AH399" s="11">
        <f>SUBTOTAL(3,_xlfn.SINGLE(tbl_code[RowId]))</f>
        <v>1</v>
      </c>
    </row>
    <row r="400" spans="10:34">
      <c r="J400" s="4">
        <v>390</v>
      </c>
      <c r="K400" s="21" t="str">
        <f>HYPERLINK("obsidian://open?vault=o2&amp;file=2024-11-05.md","2024-11-05")</f>
        <v>2024-11-05</v>
      </c>
      <c r="L400" s="2" t="s">
        <v>3455</v>
      </c>
      <c r="M400" s="2" t="s">
        <v>3456</v>
      </c>
      <c r="N400" s="4">
        <v>1</v>
      </c>
      <c r="O400" s="2" t="s">
        <v>3656</v>
      </c>
      <c r="P400" s="11" t="s">
        <v>175</v>
      </c>
      <c r="AH400" s="11">
        <f>SUBTOTAL(3,_xlfn.SINGLE(tbl_code[RowId]))</f>
        <v>1</v>
      </c>
    </row>
    <row r="401" spans="10:34">
      <c r="J401" s="4">
        <v>391</v>
      </c>
      <c r="K401" s="21" t="str">
        <f>HYPERLINK("obsidian://open?vault=o2&amp;file=2024-11-05.md","2024-11-05")</f>
        <v>2024-11-05</v>
      </c>
      <c r="L401" s="2"/>
      <c r="M401" s="2" t="s">
        <v>3569</v>
      </c>
      <c r="N401" s="4">
        <v>1</v>
      </c>
      <c r="O401" s="2" t="s">
        <v>3676</v>
      </c>
      <c r="P401" s="11" t="s">
        <v>175</v>
      </c>
      <c r="AH401" s="11">
        <f>SUBTOTAL(3,_xlfn.SINGLE(tbl_code[RowId]))</f>
        <v>1</v>
      </c>
    </row>
    <row r="402" spans="10:34">
      <c r="J402" s="4">
        <v>392</v>
      </c>
      <c r="K402" s="21" t="str">
        <f>HYPERLINK("obsidian://open?vault=o2&amp;file=2024-11-05.md","2024-11-05")</f>
        <v>2024-11-05</v>
      </c>
      <c r="L402" s="2" t="s">
        <v>3624</v>
      </c>
      <c r="M402" s="2" t="s">
        <v>3625</v>
      </c>
      <c r="N402" s="4">
        <v>3</v>
      </c>
      <c r="O402" s="2" t="s">
        <v>3626</v>
      </c>
      <c r="P402" s="11" t="s">
        <v>175</v>
      </c>
      <c r="Q402" s="2" t="s">
        <v>3627</v>
      </c>
      <c r="R402" s="11" t="s">
        <v>175</v>
      </c>
      <c r="S402" s="2" t="s">
        <v>3628</v>
      </c>
      <c r="T402" s="11" t="s">
        <v>175</v>
      </c>
      <c r="AH402" s="11">
        <f>SUBTOTAL(3,_xlfn.SINGLE(tbl_code[RowId]))</f>
        <v>1</v>
      </c>
    </row>
    <row r="403" spans="10:34">
      <c r="J403" s="4">
        <v>393</v>
      </c>
      <c r="K403" s="21" t="str">
        <f>HYPERLINK("obsidian://open?vault=o2&amp;file=2024-11-06.md","2024-11-06")</f>
        <v>2024-11-06</v>
      </c>
      <c r="L403" s="2" t="s">
        <v>3319</v>
      </c>
      <c r="M403" s="2" t="s">
        <v>3320</v>
      </c>
      <c r="N403" s="4">
        <v>2</v>
      </c>
      <c r="O403" s="2" t="s">
        <v>3548</v>
      </c>
      <c r="P403" s="11" t="s">
        <v>175</v>
      </c>
      <c r="Q403" s="2" t="s">
        <v>3549</v>
      </c>
      <c r="R403" s="11" t="s">
        <v>175</v>
      </c>
      <c r="AH403" s="11">
        <f>SUBTOTAL(3,_xlfn.SINGLE(tbl_code[RowId]))</f>
        <v>1</v>
      </c>
    </row>
    <row r="404" spans="10:34">
      <c r="J404" s="4">
        <v>394</v>
      </c>
      <c r="K404" s="21" t="str">
        <f>HYPERLINK("obsidian://open?vault=o2&amp;file=2024-11-06.md","2024-11-06")</f>
        <v>2024-11-06</v>
      </c>
      <c r="L404" s="2" t="s">
        <v>3455</v>
      </c>
      <c r="M404" s="2" t="s">
        <v>3456</v>
      </c>
      <c r="N404" s="4">
        <v>1</v>
      </c>
      <c r="O404" s="2" t="s">
        <v>3677</v>
      </c>
      <c r="P404" s="11" t="s">
        <v>175</v>
      </c>
      <c r="AH404" s="11">
        <f>SUBTOTAL(3,_xlfn.SINGLE(tbl_code[RowId]))</f>
        <v>1</v>
      </c>
    </row>
    <row r="405" spans="10:34">
      <c r="J405" s="4">
        <v>395</v>
      </c>
      <c r="K405" s="21" t="str">
        <f>HYPERLINK("obsidian://open?vault=o2&amp;file=2024-11-06.md","2024-11-06")</f>
        <v>2024-11-06</v>
      </c>
      <c r="L405" s="2"/>
      <c r="M405" s="2" t="s">
        <v>3569</v>
      </c>
      <c r="N405" s="4">
        <v>1</v>
      </c>
      <c r="O405" s="2" t="s">
        <v>3678</v>
      </c>
      <c r="P405" s="11" t="s">
        <v>175</v>
      </c>
      <c r="AH405" s="11">
        <f>SUBTOTAL(3,_xlfn.SINGLE(tbl_code[RowId]))</f>
        <v>1</v>
      </c>
    </row>
    <row r="406" spans="10:34">
      <c r="J406" s="4">
        <v>396</v>
      </c>
      <c r="K406" s="21" t="str">
        <f>HYPERLINK("obsidian://open?vault=o2&amp;file=2024-11-06.md","2024-11-06")</f>
        <v>2024-11-06</v>
      </c>
      <c r="L406" s="2" t="s">
        <v>3624</v>
      </c>
      <c r="M406" s="2" t="s">
        <v>3625</v>
      </c>
      <c r="N406" s="4">
        <v>3</v>
      </c>
      <c r="O406" s="2" t="s">
        <v>3626</v>
      </c>
      <c r="P406" s="11" t="s">
        <v>175</v>
      </c>
      <c r="Q406" s="2" t="s">
        <v>3627</v>
      </c>
      <c r="R406" s="11" t="s">
        <v>175</v>
      </c>
      <c r="S406" s="2" t="s">
        <v>3628</v>
      </c>
      <c r="T406" s="11" t="s">
        <v>175</v>
      </c>
      <c r="AH406" s="11">
        <f>SUBTOTAL(3,_xlfn.SINGLE(tbl_code[RowId]))</f>
        <v>1</v>
      </c>
    </row>
    <row r="407" spans="10:34">
      <c r="J407" s="4">
        <v>397</v>
      </c>
      <c r="K407" s="21" t="str">
        <f>HYPERLINK("obsidian://open?vault=o2&amp;file=2024-11-07.md","2024-11-07")</f>
        <v>2024-11-07</v>
      </c>
      <c r="L407" s="2" t="s">
        <v>3319</v>
      </c>
      <c r="M407" s="2" t="s">
        <v>3320</v>
      </c>
      <c r="N407" s="4">
        <v>2</v>
      </c>
      <c r="O407" s="2" t="s">
        <v>3548</v>
      </c>
      <c r="P407" s="11" t="s">
        <v>175</v>
      </c>
      <c r="Q407" s="2" t="s">
        <v>3549</v>
      </c>
      <c r="R407" s="11" t="s">
        <v>175</v>
      </c>
      <c r="AH407" s="11">
        <f>SUBTOTAL(3,_xlfn.SINGLE(tbl_code[RowId]))</f>
        <v>1</v>
      </c>
    </row>
    <row r="408" spans="10:34">
      <c r="J408" s="4">
        <v>398</v>
      </c>
      <c r="K408" s="21" t="str">
        <f>HYPERLINK("obsidian://open?vault=o2&amp;file=2024-11-07.md","2024-11-07")</f>
        <v>2024-11-07</v>
      </c>
      <c r="L408" s="2" t="s">
        <v>3455</v>
      </c>
      <c r="M408" s="2" t="s">
        <v>3456</v>
      </c>
      <c r="N408" s="4">
        <v>1</v>
      </c>
      <c r="O408" s="2" t="s">
        <v>3656</v>
      </c>
      <c r="P408" s="11" t="s">
        <v>175</v>
      </c>
      <c r="AH408" s="11">
        <f>SUBTOTAL(3,_xlfn.SINGLE(tbl_code[RowId]))</f>
        <v>1</v>
      </c>
    </row>
    <row r="409" spans="10:34">
      <c r="J409" s="4">
        <v>399</v>
      </c>
      <c r="K409" s="21" t="str">
        <f>HYPERLINK("obsidian://open?vault=o2&amp;file=2024-11-07.md","2024-11-07")</f>
        <v>2024-11-07</v>
      </c>
      <c r="L409" s="2"/>
      <c r="M409" s="2" t="s">
        <v>3569</v>
      </c>
      <c r="N409" s="4">
        <v>1</v>
      </c>
      <c r="O409" s="2" t="s">
        <v>3679</v>
      </c>
      <c r="P409" s="11" t="s">
        <v>175</v>
      </c>
      <c r="AH409" s="11">
        <f>SUBTOTAL(3,_xlfn.SINGLE(tbl_code[RowId]))</f>
        <v>1</v>
      </c>
    </row>
    <row r="410" spans="10:34">
      <c r="J410" s="4">
        <v>400</v>
      </c>
      <c r="K410" s="21" t="str">
        <f>HYPERLINK("obsidian://open?vault=o2&amp;file=2024-11-07.md","2024-11-07")</f>
        <v>2024-11-07</v>
      </c>
      <c r="L410" s="2" t="s">
        <v>3624</v>
      </c>
      <c r="M410" s="2" t="s">
        <v>3625</v>
      </c>
      <c r="N410" s="4">
        <v>3</v>
      </c>
      <c r="O410" s="2" t="s">
        <v>3626</v>
      </c>
      <c r="P410" s="11" t="s">
        <v>175</v>
      </c>
      <c r="Q410" s="2" t="s">
        <v>3627</v>
      </c>
      <c r="R410" s="11" t="s">
        <v>175</v>
      </c>
      <c r="S410" s="2" t="s">
        <v>3628</v>
      </c>
      <c r="T410" s="11" t="s">
        <v>175</v>
      </c>
      <c r="AH410" s="11">
        <f>SUBTOTAL(3,_xlfn.SINGLE(tbl_code[RowId]))</f>
        <v>1</v>
      </c>
    </row>
    <row r="411" spans="10:34">
      <c r="J411" s="4">
        <v>401</v>
      </c>
      <c r="K411" s="21" t="str">
        <f>HYPERLINK("obsidian://open?vault=o2&amp;file=2024-11-10.md","2024-11-10")</f>
        <v>2024-11-10</v>
      </c>
      <c r="L411" s="2" t="s">
        <v>3319</v>
      </c>
      <c r="M411" s="2" t="s">
        <v>3320</v>
      </c>
      <c r="N411" s="4">
        <v>2</v>
      </c>
      <c r="O411" s="2" t="s">
        <v>3548</v>
      </c>
      <c r="P411" s="11" t="s">
        <v>175</v>
      </c>
      <c r="Q411" s="2" t="s">
        <v>3549</v>
      </c>
      <c r="R411" s="11" t="s">
        <v>175</v>
      </c>
      <c r="AH411" s="11">
        <f>SUBTOTAL(3,_xlfn.SINGLE(tbl_code[RowId]))</f>
        <v>1</v>
      </c>
    </row>
    <row r="412" spans="10:34">
      <c r="J412" s="4">
        <v>402</v>
      </c>
      <c r="K412" s="21" t="str">
        <f>HYPERLINK("obsidian://open?vault=o2&amp;file=2024-11-10.md","2024-11-10")</f>
        <v>2024-11-10</v>
      </c>
      <c r="L412" s="2" t="s">
        <v>3455</v>
      </c>
      <c r="M412" s="2" t="s">
        <v>3456</v>
      </c>
      <c r="N412" s="4">
        <v>1</v>
      </c>
      <c r="O412" s="2" t="s">
        <v>3656</v>
      </c>
      <c r="P412" s="11" t="s">
        <v>175</v>
      </c>
      <c r="AH412" s="11">
        <f>SUBTOTAL(3,_xlfn.SINGLE(tbl_code[RowId]))</f>
        <v>1</v>
      </c>
    </row>
    <row r="413" spans="10:34">
      <c r="J413" s="4">
        <v>403</v>
      </c>
      <c r="K413" s="21" t="str">
        <f>HYPERLINK("obsidian://open?vault=o2&amp;file=2024-11-10.md","2024-11-10")</f>
        <v>2024-11-10</v>
      </c>
      <c r="L413" s="2"/>
      <c r="M413" s="2" t="s">
        <v>3569</v>
      </c>
      <c r="N413" s="4">
        <v>1</v>
      </c>
      <c r="O413" s="2" t="s">
        <v>3680</v>
      </c>
      <c r="P413" s="11" t="s">
        <v>175</v>
      </c>
      <c r="AH413" s="11">
        <f>SUBTOTAL(3,_xlfn.SINGLE(tbl_code[RowId]))</f>
        <v>1</v>
      </c>
    </row>
    <row r="414" spans="10:34">
      <c r="J414" s="4">
        <v>404</v>
      </c>
      <c r="K414" s="21" t="str">
        <f>HYPERLINK("obsidian://open?vault=o2&amp;file=2024-11-10.md","2024-11-10")</f>
        <v>2024-11-10</v>
      </c>
      <c r="L414" s="2" t="s">
        <v>3624</v>
      </c>
      <c r="M414" s="2" t="s">
        <v>3625</v>
      </c>
      <c r="N414" s="4">
        <v>3</v>
      </c>
      <c r="O414" s="2" t="s">
        <v>3626</v>
      </c>
      <c r="P414" s="11" t="s">
        <v>175</v>
      </c>
      <c r="Q414" s="2" t="s">
        <v>3627</v>
      </c>
      <c r="R414" s="11" t="s">
        <v>175</v>
      </c>
      <c r="S414" s="2" t="s">
        <v>3628</v>
      </c>
      <c r="T414" s="11" t="s">
        <v>175</v>
      </c>
      <c r="AH414" s="11">
        <f>SUBTOTAL(3,_xlfn.SINGLE(tbl_code[RowId]))</f>
        <v>1</v>
      </c>
    </row>
    <row r="415" spans="10:34">
      <c r="J415" s="4">
        <v>405</v>
      </c>
      <c r="K415" s="21" t="str">
        <f>HYPERLINK("obsidian://open?vault=o2&amp;file=2024-11-11.md","2024-11-11")</f>
        <v>2024-11-11</v>
      </c>
      <c r="L415" s="2" t="s">
        <v>3319</v>
      </c>
      <c r="M415" s="2" t="s">
        <v>3320</v>
      </c>
      <c r="N415" s="4">
        <v>2</v>
      </c>
      <c r="O415" s="2" t="s">
        <v>3548</v>
      </c>
      <c r="P415" s="11" t="s">
        <v>175</v>
      </c>
      <c r="Q415" s="2" t="s">
        <v>3549</v>
      </c>
      <c r="R415" s="11" t="s">
        <v>175</v>
      </c>
      <c r="AH415" s="11">
        <f>SUBTOTAL(3,_xlfn.SINGLE(tbl_code[RowId]))</f>
        <v>1</v>
      </c>
    </row>
    <row r="416" spans="10:34">
      <c r="J416" s="4">
        <v>406</v>
      </c>
      <c r="K416" s="21" t="str">
        <f>HYPERLINK("obsidian://open?vault=o2&amp;file=2024-11-11.md","2024-11-11")</f>
        <v>2024-11-11</v>
      </c>
      <c r="L416" s="2" t="s">
        <v>3455</v>
      </c>
      <c r="M416" s="2" t="s">
        <v>3456</v>
      </c>
      <c r="N416" s="4">
        <v>1</v>
      </c>
      <c r="O416" s="2" t="s">
        <v>3656</v>
      </c>
      <c r="P416" s="11" t="s">
        <v>175</v>
      </c>
      <c r="AH416" s="11">
        <f>SUBTOTAL(3,_xlfn.SINGLE(tbl_code[RowId]))</f>
        <v>1</v>
      </c>
    </row>
    <row r="417" spans="10:34">
      <c r="J417" s="4">
        <v>407</v>
      </c>
      <c r="K417" s="21" t="str">
        <f>HYPERLINK("obsidian://open?vault=o2&amp;file=2024-11-11.md","2024-11-11")</f>
        <v>2024-11-11</v>
      </c>
      <c r="L417" s="2"/>
      <c r="M417" s="2" t="s">
        <v>3569</v>
      </c>
      <c r="N417" s="4">
        <v>1</v>
      </c>
      <c r="O417" s="2" t="s">
        <v>3681</v>
      </c>
      <c r="P417" s="11" t="s">
        <v>175</v>
      </c>
      <c r="AH417" s="11">
        <f>SUBTOTAL(3,_xlfn.SINGLE(tbl_code[RowId]))</f>
        <v>1</v>
      </c>
    </row>
    <row r="418" spans="10:34">
      <c r="J418" s="4">
        <v>408</v>
      </c>
      <c r="K418" s="21" t="str">
        <f>HYPERLINK("obsidian://open?vault=o2&amp;file=2024-11-11.md","2024-11-11")</f>
        <v>2024-11-11</v>
      </c>
      <c r="L418" s="2" t="s">
        <v>3624</v>
      </c>
      <c r="M418" s="2" t="s">
        <v>3625</v>
      </c>
      <c r="N418" s="4">
        <v>3</v>
      </c>
      <c r="O418" s="2" t="s">
        <v>3626</v>
      </c>
      <c r="P418" s="11" t="s">
        <v>175</v>
      </c>
      <c r="Q418" s="2" t="s">
        <v>3627</v>
      </c>
      <c r="R418" s="11" t="s">
        <v>175</v>
      </c>
      <c r="S418" s="2" t="s">
        <v>3628</v>
      </c>
      <c r="T418" s="11" t="s">
        <v>175</v>
      </c>
      <c r="AH418" s="11">
        <f>SUBTOTAL(3,_xlfn.SINGLE(tbl_code[RowId]))</f>
        <v>1</v>
      </c>
    </row>
    <row r="419" spans="10:34">
      <c r="J419" s="4">
        <v>409</v>
      </c>
      <c r="K419" s="21" t="str">
        <f>HYPERLINK("obsidian://open?vault=o2&amp;file=2024-11-12.md","2024-11-12")</f>
        <v>2024-11-12</v>
      </c>
      <c r="L419" s="2" t="s">
        <v>3319</v>
      </c>
      <c r="M419" s="2" t="s">
        <v>3320</v>
      </c>
      <c r="N419" s="4">
        <v>2</v>
      </c>
      <c r="O419" s="2" t="s">
        <v>3548</v>
      </c>
      <c r="P419" s="11" t="s">
        <v>175</v>
      </c>
      <c r="Q419" s="2" t="s">
        <v>3549</v>
      </c>
      <c r="R419" s="11" t="s">
        <v>175</v>
      </c>
      <c r="AH419" s="11">
        <f>SUBTOTAL(3,_xlfn.SINGLE(tbl_code[RowId]))</f>
        <v>1</v>
      </c>
    </row>
    <row r="420" spans="10:34">
      <c r="J420" s="4">
        <v>410</v>
      </c>
      <c r="K420" s="21" t="str">
        <f>HYPERLINK("obsidian://open?vault=o2&amp;file=2024-11-12.md","2024-11-12")</f>
        <v>2024-11-12</v>
      </c>
      <c r="L420" s="2" t="s">
        <v>3455</v>
      </c>
      <c r="M420" s="2" t="s">
        <v>3456</v>
      </c>
      <c r="N420" s="4">
        <v>1</v>
      </c>
      <c r="O420" s="2" t="s">
        <v>3656</v>
      </c>
      <c r="P420" s="11" t="s">
        <v>175</v>
      </c>
      <c r="AH420" s="11">
        <f>SUBTOTAL(3,_xlfn.SINGLE(tbl_code[RowId]))</f>
        <v>1</v>
      </c>
    </row>
    <row r="421" spans="10:34">
      <c r="J421" s="4">
        <v>411</v>
      </c>
      <c r="K421" s="21" t="str">
        <f>HYPERLINK("obsidian://open?vault=o2&amp;file=2024-11-12.md","2024-11-12")</f>
        <v>2024-11-12</v>
      </c>
      <c r="L421" s="2"/>
      <c r="M421" s="2" t="s">
        <v>3569</v>
      </c>
      <c r="N421" s="4">
        <v>1</v>
      </c>
      <c r="O421" s="2" t="s">
        <v>3682</v>
      </c>
      <c r="P421" s="11" t="s">
        <v>175</v>
      </c>
      <c r="AH421" s="11">
        <f>SUBTOTAL(3,_xlfn.SINGLE(tbl_code[RowId]))</f>
        <v>1</v>
      </c>
    </row>
    <row r="422" spans="10:34">
      <c r="J422" s="4">
        <v>412</v>
      </c>
      <c r="K422" s="21" t="str">
        <f>HYPERLINK("obsidian://open?vault=o2&amp;file=2024-11-12.md","2024-11-12")</f>
        <v>2024-11-12</v>
      </c>
      <c r="L422" s="2" t="s">
        <v>3624</v>
      </c>
      <c r="M422" s="2" t="s">
        <v>3625</v>
      </c>
      <c r="N422" s="4">
        <v>3</v>
      </c>
      <c r="O422" s="2" t="s">
        <v>3626</v>
      </c>
      <c r="P422" s="11" t="s">
        <v>175</v>
      </c>
      <c r="Q422" s="2" t="s">
        <v>3627</v>
      </c>
      <c r="R422" s="11" t="s">
        <v>175</v>
      </c>
      <c r="S422" s="2" t="s">
        <v>3628</v>
      </c>
      <c r="T422" s="11" t="s">
        <v>175</v>
      </c>
      <c r="AH422" s="11">
        <f>SUBTOTAL(3,_xlfn.SINGLE(tbl_code[RowId]))</f>
        <v>1</v>
      </c>
    </row>
    <row r="423" spans="10:34">
      <c r="J423" s="4">
        <v>413</v>
      </c>
      <c r="K423" s="21" t="str">
        <f>HYPERLINK("obsidian://open?vault=o2&amp;file=2024-11-13.md","2024-11-13")</f>
        <v>2024-11-13</v>
      </c>
      <c r="L423" s="2" t="s">
        <v>3319</v>
      </c>
      <c r="M423" s="2" t="s">
        <v>3320</v>
      </c>
      <c r="N423" s="4">
        <v>2</v>
      </c>
      <c r="O423" s="2" t="s">
        <v>3548</v>
      </c>
      <c r="P423" s="11" t="s">
        <v>175</v>
      </c>
      <c r="Q423" s="2" t="s">
        <v>3549</v>
      </c>
      <c r="R423" s="11" t="s">
        <v>175</v>
      </c>
      <c r="AH423" s="11">
        <f>SUBTOTAL(3,_xlfn.SINGLE(tbl_code[RowId]))</f>
        <v>1</v>
      </c>
    </row>
    <row r="424" spans="10:34">
      <c r="J424" s="4">
        <v>414</v>
      </c>
      <c r="K424" s="21" t="str">
        <f>HYPERLINK("obsidian://open?vault=o2&amp;file=2024-11-13.md","2024-11-13")</f>
        <v>2024-11-13</v>
      </c>
      <c r="L424" s="2" t="s">
        <v>3455</v>
      </c>
      <c r="M424" s="2" t="s">
        <v>3456</v>
      </c>
      <c r="N424" s="4">
        <v>1</v>
      </c>
      <c r="O424" s="2" t="s">
        <v>3656</v>
      </c>
      <c r="P424" s="11" t="s">
        <v>175</v>
      </c>
      <c r="AH424" s="11">
        <f>SUBTOTAL(3,_xlfn.SINGLE(tbl_code[RowId]))</f>
        <v>1</v>
      </c>
    </row>
    <row r="425" spans="10:34">
      <c r="J425" s="4">
        <v>415</v>
      </c>
      <c r="K425" s="21" t="str">
        <f>HYPERLINK("obsidian://open?vault=o2&amp;file=2024-11-13.md","2024-11-13")</f>
        <v>2024-11-13</v>
      </c>
      <c r="L425" s="2"/>
      <c r="M425" s="2" t="s">
        <v>3569</v>
      </c>
      <c r="N425" s="4">
        <v>1</v>
      </c>
      <c r="O425" s="2" t="s">
        <v>3683</v>
      </c>
      <c r="P425" s="11" t="s">
        <v>175</v>
      </c>
      <c r="AH425" s="11">
        <f>SUBTOTAL(3,_xlfn.SINGLE(tbl_code[RowId]))</f>
        <v>1</v>
      </c>
    </row>
    <row r="426" spans="10:34">
      <c r="J426" s="4">
        <v>416</v>
      </c>
      <c r="K426" s="21" t="str">
        <f>HYPERLINK("obsidian://open?vault=o2&amp;file=2024-11-13.md","2024-11-13")</f>
        <v>2024-11-13</v>
      </c>
      <c r="L426" s="2" t="s">
        <v>3624</v>
      </c>
      <c r="M426" s="2" t="s">
        <v>3625</v>
      </c>
      <c r="N426" s="4">
        <v>3</v>
      </c>
      <c r="O426" s="2" t="s">
        <v>3626</v>
      </c>
      <c r="P426" s="11" t="s">
        <v>175</v>
      </c>
      <c r="Q426" s="2" t="s">
        <v>3627</v>
      </c>
      <c r="R426" s="11" t="s">
        <v>175</v>
      </c>
      <c r="S426" s="2" t="s">
        <v>3628</v>
      </c>
      <c r="T426" s="11" t="s">
        <v>175</v>
      </c>
      <c r="AH426" s="11">
        <f>SUBTOTAL(3,_xlfn.SINGLE(tbl_code[RowId]))</f>
        <v>1</v>
      </c>
    </row>
    <row r="427" spans="10:34">
      <c r="J427" s="4">
        <v>417</v>
      </c>
      <c r="K427" s="21" t="str">
        <f>HYPERLINK("obsidian://open?vault=o2&amp;file=2024-11-25.md","2024-11-25")</f>
        <v>2024-11-25</v>
      </c>
      <c r="L427" s="2" t="s">
        <v>3319</v>
      </c>
      <c r="M427" s="2" t="s">
        <v>3320</v>
      </c>
      <c r="N427" s="4">
        <v>2</v>
      </c>
      <c r="O427" s="2" t="s">
        <v>3548</v>
      </c>
      <c r="P427" s="11" t="s">
        <v>175</v>
      </c>
      <c r="Q427" s="2" t="s">
        <v>3549</v>
      </c>
      <c r="R427" s="11" t="s">
        <v>175</v>
      </c>
      <c r="AH427" s="11">
        <f>SUBTOTAL(3,_xlfn.SINGLE(tbl_code[RowId]))</f>
        <v>1</v>
      </c>
    </row>
    <row r="428" spans="10:34">
      <c r="J428" s="4">
        <v>418</v>
      </c>
      <c r="K428" s="21" t="str">
        <f>HYPERLINK("obsidian://open?vault=o2&amp;file=2024-11-25.md","2024-11-25")</f>
        <v>2024-11-25</v>
      </c>
      <c r="L428" s="2" t="s">
        <v>3455</v>
      </c>
      <c r="M428" s="2" t="s">
        <v>3456</v>
      </c>
      <c r="N428" s="4">
        <v>1</v>
      </c>
      <c r="O428" s="2" t="s">
        <v>3656</v>
      </c>
      <c r="P428" s="11" t="s">
        <v>175</v>
      </c>
      <c r="AH428" s="11">
        <f>SUBTOTAL(3,_xlfn.SINGLE(tbl_code[RowId]))</f>
        <v>1</v>
      </c>
    </row>
    <row r="429" spans="10:34">
      <c r="J429" s="4">
        <v>419</v>
      </c>
      <c r="K429" s="21" t="str">
        <f>HYPERLINK("obsidian://open?vault=o2&amp;file=2024-11-25.md","2024-11-25")</f>
        <v>2024-11-25</v>
      </c>
      <c r="L429" s="2"/>
      <c r="M429" s="2" t="s">
        <v>3569</v>
      </c>
      <c r="N429" s="4">
        <v>1</v>
      </c>
      <c r="O429" s="2" t="s">
        <v>3684</v>
      </c>
      <c r="P429" s="11" t="s">
        <v>175</v>
      </c>
      <c r="AH429" s="11">
        <f>SUBTOTAL(3,_xlfn.SINGLE(tbl_code[RowId]))</f>
        <v>1</v>
      </c>
    </row>
    <row r="430" spans="10:34">
      <c r="J430" s="4">
        <v>420</v>
      </c>
      <c r="K430" s="21" t="str">
        <f>HYPERLINK("obsidian://open?vault=o2&amp;file=2024-11-25.md","2024-11-25")</f>
        <v>2024-11-25</v>
      </c>
      <c r="L430" s="2" t="s">
        <v>3624</v>
      </c>
      <c r="M430" s="2" t="s">
        <v>3625</v>
      </c>
      <c r="N430" s="4">
        <v>3</v>
      </c>
      <c r="O430" s="2" t="s">
        <v>3626</v>
      </c>
      <c r="P430" s="11" t="s">
        <v>175</v>
      </c>
      <c r="Q430" s="2" t="s">
        <v>3627</v>
      </c>
      <c r="R430" s="11" t="s">
        <v>175</v>
      </c>
      <c r="S430" s="2" t="s">
        <v>3628</v>
      </c>
      <c r="T430" s="11" t="s">
        <v>175</v>
      </c>
      <c r="AH430" s="11">
        <f>SUBTOTAL(3,_xlfn.SINGLE(tbl_code[RowId]))</f>
        <v>1</v>
      </c>
    </row>
    <row r="431" spans="10:34">
      <c r="J431" s="4">
        <v>421</v>
      </c>
      <c r="K431" s="21" t="str">
        <f>HYPERLINK("obsidian://open?vault=o2&amp;file=2024-11-26.md","2024-11-26")</f>
        <v>2024-11-26</v>
      </c>
      <c r="L431" s="2" t="s">
        <v>3319</v>
      </c>
      <c r="M431" s="2" t="s">
        <v>3320</v>
      </c>
      <c r="N431" s="4">
        <v>2</v>
      </c>
      <c r="O431" s="2" t="s">
        <v>3548</v>
      </c>
      <c r="P431" s="11" t="s">
        <v>175</v>
      </c>
      <c r="Q431" s="2" t="s">
        <v>3549</v>
      </c>
      <c r="R431" s="11" t="s">
        <v>175</v>
      </c>
      <c r="AH431" s="11">
        <f>SUBTOTAL(3,_xlfn.SINGLE(tbl_code[RowId]))</f>
        <v>1</v>
      </c>
    </row>
    <row r="432" spans="10:34">
      <c r="J432" s="4">
        <v>422</v>
      </c>
      <c r="K432" s="21" t="str">
        <f>HYPERLINK("obsidian://open?vault=o2&amp;file=2024-11-26.md","2024-11-26")</f>
        <v>2024-11-26</v>
      </c>
      <c r="L432" s="2" t="s">
        <v>3455</v>
      </c>
      <c r="M432" s="2" t="s">
        <v>3456</v>
      </c>
      <c r="N432" s="4">
        <v>1</v>
      </c>
      <c r="O432" s="2" t="s">
        <v>3656</v>
      </c>
      <c r="P432" s="11" t="s">
        <v>175</v>
      </c>
      <c r="AH432" s="11">
        <f>SUBTOTAL(3,_xlfn.SINGLE(tbl_code[RowId]))</f>
        <v>1</v>
      </c>
    </row>
    <row r="433" spans="10:34">
      <c r="J433" s="4">
        <v>423</v>
      </c>
      <c r="K433" s="21" t="str">
        <f>HYPERLINK("obsidian://open?vault=o2&amp;file=2024-11-26.md","2024-11-26")</f>
        <v>2024-11-26</v>
      </c>
      <c r="L433" s="2"/>
      <c r="M433" s="2" t="s">
        <v>3569</v>
      </c>
      <c r="N433" s="4">
        <v>1</v>
      </c>
      <c r="O433" s="2" t="s">
        <v>3685</v>
      </c>
      <c r="P433" s="11" t="s">
        <v>175</v>
      </c>
      <c r="AH433" s="11">
        <f>SUBTOTAL(3,_xlfn.SINGLE(tbl_code[RowId]))</f>
        <v>1</v>
      </c>
    </row>
    <row r="434" spans="10:34">
      <c r="J434" s="4">
        <v>424</v>
      </c>
      <c r="K434" s="21" t="str">
        <f>HYPERLINK("obsidian://open?vault=o2&amp;file=2024-11-26.md","2024-11-26")</f>
        <v>2024-11-26</v>
      </c>
      <c r="L434" s="2" t="s">
        <v>3624</v>
      </c>
      <c r="M434" s="2" t="s">
        <v>3625</v>
      </c>
      <c r="N434" s="4">
        <v>3</v>
      </c>
      <c r="O434" s="2" t="s">
        <v>3626</v>
      </c>
      <c r="P434" s="11" t="s">
        <v>175</v>
      </c>
      <c r="Q434" s="2" t="s">
        <v>3627</v>
      </c>
      <c r="R434" s="11" t="s">
        <v>175</v>
      </c>
      <c r="S434" s="2" t="s">
        <v>3628</v>
      </c>
      <c r="T434" s="11" t="s">
        <v>175</v>
      </c>
      <c r="AH434" s="11">
        <f>SUBTOTAL(3,_xlfn.SINGLE(tbl_code[RowId]))</f>
        <v>1</v>
      </c>
    </row>
    <row r="435" spans="10:34">
      <c r="J435" s="4">
        <v>425</v>
      </c>
      <c r="K435" s="21" t="str">
        <f>HYPERLINK("obsidian://open?vault=o2&amp;file=2024-11-27.md","2024-11-27")</f>
        <v>2024-11-27</v>
      </c>
      <c r="L435" s="2" t="s">
        <v>3319</v>
      </c>
      <c r="M435" s="2" t="s">
        <v>3320</v>
      </c>
      <c r="N435" s="4">
        <v>2</v>
      </c>
      <c r="O435" s="2" t="s">
        <v>3548</v>
      </c>
      <c r="P435" s="11" t="s">
        <v>175</v>
      </c>
      <c r="Q435" s="2" t="s">
        <v>3549</v>
      </c>
      <c r="R435" s="11" t="s">
        <v>175</v>
      </c>
      <c r="AH435" s="11">
        <f>SUBTOTAL(3,_xlfn.SINGLE(tbl_code[RowId]))</f>
        <v>1</v>
      </c>
    </row>
    <row r="436" spans="10:34">
      <c r="J436" s="4">
        <v>426</v>
      </c>
      <c r="K436" s="21" t="str">
        <f>HYPERLINK("obsidian://open?vault=o2&amp;file=2024-11-27.md","2024-11-27")</f>
        <v>2024-11-27</v>
      </c>
      <c r="L436" s="2" t="s">
        <v>3455</v>
      </c>
      <c r="M436" s="2" t="s">
        <v>3456</v>
      </c>
      <c r="N436" s="4">
        <v>1</v>
      </c>
      <c r="O436" s="2" t="s">
        <v>3656</v>
      </c>
      <c r="P436" s="11" t="s">
        <v>175</v>
      </c>
      <c r="AH436" s="11">
        <f>SUBTOTAL(3,_xlfn.SINGLE(tbl_code[RowId]))</f>
        <v>1</v>
      </c>
    </row>
    <row r="437" spans="10:34">
      <c r="J437" s="4">
        <v>427</v>
      </c>
      <c r="K437" s="21" t="str">
        <f>HYPERLINK("obsidian://open?vault=o2&amp;file=2024-11-27.md","2024-11-27")</f>
        <v>2024-11-27</v>
      </c>
      <c r="L437" s="2"/>
      <c r="M437" s="2" t="s">
        <v>3569</v>
      </c>
      <c r="N437" s="4">
        <v>1</v>
      </c>
      <c r="O437" s="2" t="s">
        <v>3686</v>
      </c>
      <c r="P437" s="11" t="s">
        <v>175</v>
      </c>
      <c r="AH437" s="11">
        <f>SUBTOTAL(3,_xlfn.SINGLE(tbl_code[RowId]))</f>
        <v>1</v>
      </c>
    </row>
    <row r="438" spans="10:34">
      <c r="J438" s="4">
        <v>428</v>
      </c>
      <c r="K438" s="21" t="str">
        <f>HYPERLINK("obsidian://open?vault=o2&amp;file=2024-11-27.md","2024-11-27")</f>
        <v>2024-11-27</v>
      </c>
      <c r="L438" s="2" t="s">
        <v>3624</v>
      </c>
      <c r="M438" s="2" t="s">
        <v>3625</v>
      </c>
      <c r="N438" s="4">
        <v>3</v>
      </c>
      <c r="O438" s="2" t="s">
        <v>3626</v>
      </c>
      <c r="P438" s="11" t="s">
        <v>175</v>
      </c>
      <c r="Q438" s="2" t="s">
        <v>3627</v>
      </c>
      <c r="R438" s="11" t="s">
        <v>175</v>
      </c>
      <c r="S438" s="2" t="s">
        <v>3628</v>
      </c>
      <c r="T438" s="11" t="s">
        <v>175</v>
      </c>
      <c r="AH438" s="11">
        <f>SUBTOTAL(3,_xlfn.SINGLE(tbl_code[RowId]))</f>
        <v>1</v>
      </c>
    </row>
    <row r="439" spans="10:34">
      <c r="J439" s="4">
        <v>429</v>
      </c>
      <c r="K439" s="21" t="str">
        <f>HYPERLINK("obsidian://open?vault=o2&amp;file=2024-12-01.md","2024-12-01")</f>
        <v>2024-12-01</v>
      </c>
      <c r="L439" s="2" t="s">
        <v>3319</v>
      </c>
      <c r="M439" s="2" t="s">
        <v>3320</v>
      </c>
      <c r="N439" s="4">
        <v>2</v>
      </c>
      <c r="O439" s="2" t="s">
        <v>3548</v>
      </c>
      <c r="P439" s="11" t="s">
        <v>175</v>
      </c>
      <c r="Q439" s="2" t="s">
        <v>3549</v>
      </c>
      <c r="R439" s="11" t="s">
        <v>175</v>
      </c>
      <c r="AH439" s="11">
        <f>SUBTOTAL(3,_xlfn.SINGLE(tbl_code[RowId]))</f>
        <v>1</v>
      </c>
    </row>
    <row r="440" spans="10:34">
      <c r="J440" s="4">
        <v>430</v>
      </c>
      <c r="K440" s="21" t="str">
        <f>HYPERLINK("obsidian://open?vault=o2&amp;file=2024-12-01.md","2024-12-01")</f>
        <v>2024-12-01</v>
      </c>
      <c r="L440" s="2" t="s">
        <v>3455</v>
      </c>
      <c r="M440" s="2" t="s">
        <v>3456</v>
      </c>
      <c r="N440" s="4">
        <v>1</v>
      </c>
      <c r="O440" s="2" t="s">
        <v>3656</v>
      </c>
      <c r="P440" s="11" t="s">
        <v>175</v>
      </c>
      <c r="AH440" s="11">
        <f>SUBTOTAL(3,_xlfn.SINGLE(tbl_code[RowId]))</f>
        <v>1</v>
      </c>
    </row>
    <row r="441" spans="10:34">
      <c r="J441" s="4">
        <v>431</v>
      </c>
      <c r="K441" s="21" t="str">
        <f>HYPERLINK("obsidian://open?vault=o2&amp;file=2024-12-01.md","2024-12-01")</f>
        <v>2024-12-01</v>
      </c>
      <c r="L441" s="2"/>
      <c r="M441" s="2" t="s">
        <v>3569</v>
      </c>
      <c r="N441" s="4">
        <v>1</v>
      </c>
      <c r="O441" s="2" t="s">
        <v>3687</v>
      </c>
      <c r="P441" s="11" t="s">
        <v>175</v>
      </c>
      <c r="AH441" s="11">
        <f>SUBTOTAL(3,_xlfn.SINGLE(tbl_code[RowId]))</f>
        <v>1</v>
      </c>
    </row>
    <row r="442" spans="10:34">
      <c r="J442" s="4">
        <v>432</v>
      </c>
      <c r="K442" s="21" t="str">
        <f>HYPERLINK("obsidian://open?vault=o2&amp;file=2024-12-01.md","2024-12-01")</f>
        <v>2024-12-01</v>
      </c>
      <c r="L442" s="2" t="s">
        <v>3624</v>
      </c>
      <c r="M442" s="2" t="s">
        <v>3625</v>
      </c>
      <c r="N442" s="4">
        <v>3</v>
      </c>
      <c r="O442" s="2" t="s">
        <v>3626</v>
      </c>
      <c r="P442" s="11" t="s">
        <v>175</v>
      </c>
      <c r="Q442" s="2" t="s">
        <v>3627</v>
      </c>
      <c r="R442" s="11" t="s">
        <v>175</v>
      </c>
      <c r="S442" s="2" t="s">
        <v>3628</v>
      </c>
      <c r="T442" s="11" t="s">
        <v>175</v>
      </c>
      <c r="AH442" s="11">
        <f>SUBTOTAL(3,_xlfn.SINGLE(tbl_code[RowId]))</f>
        <v>1</v>
      </c>
    </row>
    <row r="443" spans="10:34">
      <c r="J443" s="4">
        <v>433</v>
      </c>
      <c r="K443" s="21" t="str">
        <f>HYPERLINK("obsidian://open?vault=o2&amp;file=2024-12-02.md","2024-12-02")</f>
        <v>2024-12-02</v>
      </c>
      <c r="L443" s="2" t="s">
        <v>3319</v>
      </c>
      <c r="M443" s="2" t="s">
        <v>3320</v>
      </c>
      <c r="N443" s="4">
        <v>2</v>
      </c>
      <c r="O443" s="2" t="s">
        <v>3548</v>
      </c>
      <c r="P443" s="11" t="s">
        <v>175</v>
      </c>
      <c r="Q443" s="2" t="s">
        <v>3549</v>
      </c>
      <c r="R443" s="11" t="s">
        <v>175</v>
      </c>
      <c r="AH443" s="11">
        <f>SUBTOTAL(3,_xlfn.SINGLE(tbl_code[RowId]))</f>
        <v>1</v>
      </c>
    </row>
    <row r="444" spans="10:34">
      <c r="J444" s="4">
        <v>434</v>
      </c>
      <c r="K444" s="21" t="str">
        <f>HYPERLINK("obsidian://open?vault=o2&amp;file=2024-12-02.md","2024-12-02")</f>
        <v>2024-12-02</v>
      </c>
      <c r="L444" s="2" t="s">
        <v>3455</v>
      </c>
      <c r="M444" s="2" t="s">
        <v>3456</v>
      </c>
      <c r="N444" s="4">
        <v>1</v>
      </c>
      <c r="O444" s="2" t="s">
        <v>3656</v>
      </c>
      <c r="P444" s="11" t="s">
        <v>175</v>
      </c>
      <c r="AH444" s="11">
        <f>SUBTOTAL(3,_xlfn.SINGLE(tbl_code[RowId]))</f>
        <v>1</v>
      </c>
    </row>
    <row r="445" spans="10:34">
      <c r="J445" s="4">
        <v>435</v>
      </c>
      <c r="K445" s="21" t="str">
        <f>HYPERLINK("obsidian://open?vault=o2&amp;file=2024-12-02.md","2024-12-02")</f>
        <v>2024-12-02</v>
      </c>
      <c r="L445" s="2"/>
      <c r="M445" s="2" t="s">
        <v>3569</v>
      </c>
      <c r="N445" s="4">
        <v>1</v>
      </c>
      <c r="O445" s="2" t="s">
        <v>3688</v>
      </c>
      <c r="P445" s="11" t="s">
        <v>175</v>
      </c>
      <c r="AH445" s="11">
        <f>SUBTOTAL(3,_xlfn.SINGLE(tbl_code[RowId]))</f>
        <v>1</v>
      </c>
    </row>
    <row r="446" spans="10:34">
      <c r="J446" s="4">
        <v>436</v>
      </c>
      <c r="K446" s="21" t="str">
        <f>HYPERLINK("obsidian://open?vault=o2&amp;file=2024-12-02.md","2024-12-02")</f>
        <v>2024-12-02</v>
      </c>
      <c r="L446" s="2" t="s">
        <v>3624</v>
      </c>
      <c r="M446" s="2" t="s">
        <v>3625</v>
      </c>
      <c r="N446" s="4">
        <v>3</v>
      </c>
      <c r="O446" s="2" t="s">
        <v>3626</v>
      </c>
      <c r="P446" s="11" t="s">
        <v>175</v>
      </c>
      <c r="Q446" s="2" t="s">
        <v>3627</v>
      </c>
      <c r="R446" s="11" t="s">
        <v>175</v>
      </c>
      <c r="S446" s="2" t="s">
        <v>3628</v>
      </c>
      <c r="T446" s="11" t="s">
        <v>175</v>
      </c>
      <c r="AH446" s="11">
        <f>SUBTOTAL(3,_xlfn.SINGLE(tbl_code[RowId]))</f>
        <v>1</v>
      </c>
    </row>
    <row r="447" spans="10:34">
      <c r="J447" s="4">
        <v>437</v>
      </c>
      <c r="K447" s="21" t="str">
        <f>HYPERLINK("obsidian://open?vault=o2&amp;file=2024-12-03.md","2024-12-03")</f>
        <v>2024-12-03</v>
      </c>
      <c r="L447" s="2" t="s">
        <v>3319</v>
      </c>
      <c r="M447" s="2" t="s">
        <v>3320</v>
      </c>
      <c r="N447" s="4">
        <v>2</v>
      </c>
      <c r="O447" s="2" t="s">
        <v>3548</v>
      </c>
      <c r="P447" s="11" t="s">
        <v>175</v>
      </c>
      <c r="Q447" s="2" t="s">
        <v>3549</v>
      </c>
      <c r="R447" s="11" t="s">
        <v>175</v>
      </c>
      <c r="AH447" s="11">
        <f>SUBTOTAL(3,_xlfn.SINGLE(tbl_code[RowId]))</f>
        <v>1</v>
      </c>
    </row>
    <row r="448" spans="10:34">
      <c r="J448" s="4">
        <v>438</v>
      </c>
      <c r="K448" s="21" t="str">
        <f>HYPERLINK("obsidian://open?vault=o2&amp;file=2024-12-03.md","2024-12-03")</f>
        <v>2024-12-03</v>
      </c>
      <c r="L448" s="2" t="s">
        <v>3455</v>
      </c>
      <c r="M448" s="2" t="s">
        <v>3456</v>
      </c>
      <c r="N448" s="4">
        <v>1</v>
      </c>
      <c r="O448" s="2" t="s">
        <v>3656</v>
      </c>
      <c r="P448" s="11" t="s">
        <v>175</v>
      </c>
      <c r="AH448" s="11">
        <f>SUBTOTAL(3,_xlfn.SINGLE(tbl_code[RowId]))</f>
        <v>1</v>
      </c>
    </row>
    <row r="449" spans="10:34">
      <c r="J449" s="4">
        <v>439</v>
      </c>
      <c r="K449" s="21" t="str">
        <f>HYPERLINK("obsidian://open?vault=o2&amp;file=2024-12-03.md","2024-12-03")</f>
        <v>2024-12-03</v>
      </c>
      <c r="L449" s="2"/>
      <c r="M449" s="2" t="s">
        <v>3569</v>
      </c>
      <c r="N449" s="4">
        <v>1</v>
      </c>
      <c r="O449" s="2" t="s">
        <v>3689</v>
      </c>
      <c r="P449" s="11" t="s">
        <v>175</v>
      </c>
      <c r="AH449" s="11">
        <f>SUBTOTAL(3,_xlfn.SINGLE(tbl_code[RowId]))</f>
        <v>1</v>
      </c>
    </row>
    <row r="450" spans="10:34">
      <c r="J450" s="4">
        <v>440</v>
      </c>
      <c r="K450" s="21" t="str">
        <f>HYPERLINK("obsidian://open?vault=o2&amp;file=2024-12-03.md","2024-12-03")</f>
        <v>2024-12-03</v>
      </c>
      <c r="L450" s="2" t="s">
        <v>3624</v>
      </c>
      <c r="M450" s="2" t="s">
        <v>3625</v>
      </c>
      <c r="N450" s="4">
        <v>3</v>
      </c>
      <c r="O450" s="2" t="s">
        <v>3626</v>
      </c>
      <c r="P450" s="11" t="s">
        <v>175</v>
      </c>
      <c r="Q450" s="2" t="s">
        <v>3627</v>
      </c>
      <c r="R450" s="11" t="s">
        <v>175</v>
      </c>
      <c r="S450" s="2" t="s">
        <v>3628</v>
      </c>
      <c r="T450" s="11" t="s">
        <v>175</v>
      </c>
      <c r="AH450" s="11">
        <f>SUBTOTAL(3,_xlfn.SINGLE(tbl_code[RowId]))</f>
        <v>1</v>
      </c>
    </row>
    <row r="451" spans="10:34">
      <c r="J451" s="4">
        <v>441</v>
      </c>
      <c r="K451" s="21" t="str">
        <f>HYPERLINK("obsidian://open?vault=o2&amp;file=2024-12-04.md","2024-12-04")</f>
        <v>2024-12-04</v>
      </c>
      <c r="L451" s="2" t="s">
        <v>3319</v>
      </c>
      <c r="M451" s="2" t="s">
        <v>3320</v>
      </c>
      <c r="N451" s="4">
        <v>2</v>
      </c>
      <c r="O451" s="2" t="s">
        <v>3548</v>
      </c>
      <c r="P451" s="11" t="s">
        <v>175</v>
      </c>
      <c r="Q451" s="2" t="s">
        <v>3549</v>
      </c>
      <c r="R451" s="11" t="s">
        <v>175</v>
      </c>
      <c r="AH451" s="11">
        <f>SUBTOTAL(3,_xlfn.SINGLE(tbl_code[RowId]))</f>
        <v>1</v>
      </c>
    </row>
    <row r="452" spans="10:34">
      <c r="J452" s="4">
        <v>442</v>
      </c>
      <c r="K452" s="21" t="str">
        <f>HYPERLINK("obsidian://open?vault=o2&amp;file=2024-12-04.md","2024-12-04")</f>
        <v>2024-12-04</v>
      </c>
      <c r="L452" s="2"/>
      <c r="M452" s="2" t="s">
        <v>3569</v>
      </c>
      <c r="N452" s="4">
        <v>1</v>
      </c>
      <c r="O452" s="2" t="s">
        <v>3690</v>
      </c>
      <c r="P452" s="11" t="s">
        <v>175</v>
      </c>
      <c r="AH452" s="11">
        <f>SUBTOTAL(3,_xlfn.SINGLE(tbl_code[RowId]))</f>
        <v>1</v>
      </c>
    </row>
    <row r="453" spans="10:34">
      <c r="J453" s="4">
        <v>443</v>
      </c>
      <c r="K453" s="21" t="str">
        <f>HYPERLINK("obsidian://open?vault=o2&amp;file=2024-12-04.md","2024-12-04")</f>
        <v>2024-12-04</v>
      </c>
      <c r="L453" s="2" t="s">
        <v>3624</v>
      </c>
      <c r="M453" s="2" t="s">
        <v>3625</v>
      </c>
      <c r="N453" s="4">
        <v>3</v>
      </c>
      <c r="O453" s="2" t="s">
        <v>3626</v>
      </c>
      <c r="P453" s="11" t="s">
        <v>175</v>
      </c>
      <c r="Q453" s="2" t="s">
        <v>3627</v>
      </c>
      <c r="R453" s="11" t="s">
        <v>175</v>
      </c>
      <c r="S453" s="2" t="s">
        <v>3628</v>
      </c>
      <c r="T453" s="11" t="s">
        <v>175</v>
      </c>
      <c r="AH453" s="11">
        <f>SUBTOTAL(3,_xlfn.SINGLE(tbl_code[RowId]))</f>
        <v>1</v>
      </c>
    </row>
    <row r="454" spans="10:34">
      <c r="J454" s="4">
        <v>444</v>
      </c>
      <c r="K454" s="21" t="str">
        <f>HYPERLINK("obsidian://open?vault=o2&amp;file=2024-12-07.md","2024-12-07")</f>
        <v>2024-12-07</v>
      </c>
      <c r="L454" s="2" t="s">
        <v>3319</v>
      </c>
      <c r="M454" s="2" t="s">
        <v>3320</v>
      </c>
      <c r="N454" s="4">
        <v>2</v>
      </c>
      <c r="O454" s="2" t="s">
        <v>3548</v>
      </c>
      <c r="P454" s="11" t="s">
        <v>175</v>
      </c>
      <c r="Q454" s="2" t="s">
        <v>3549</v>
      </c>
      <c r="R454" s="11" t="s">
        <v>175</v>
      </c>
      <c r="AH454" s="11">
        <f>SUBTOTAL(3,_xlfn.SINGLE(tbl_code[RowId]))</f>
        <v>1</v>
      </c>
    </row>
    <row r="455" spans="10:34">
      <c r="J455" s="4">
        <v>445</v>
      </c>
      <c r="K455" s="21" t="str">
        <f>HYPERLINK("obsidian://open?vault=o2&amp;file=2024-12-07.md","2024-12-07")</f>
        <v>2024-12-07</v>
      </c>
      <c r="L455" s="2" t="s">
        <v>3455</v>
      </c>
      <c r="M455" s="2" t="s">
        <v>3456</v>
      </c>
      <c r="N455" s="4">
        <v>1</v>
      </c>
      <c r="O455" s="2" t="s">
        <v>3656</v>
      </c>
      <c r="P455" s="11" t="s">
        <v>175</v>
      </c>
      <c r="AH455" s="11">
        <f>SUBTOTAL(3,_xlfn.SINGLE(tbl_code[RowId]))</f>
        <v>1</v>
      </c>
    </row>
    <row r="456" spans="10:34">
      <c r="J456" s="4">
        <v>446</v>
      </c>
      <c r="K456" s="21" t="str">
        <f>HYPERLINK("obsidian://open?vault=o2&amp;file=2024-12-07.md","2024-12-07")</f>
        <v>2024-12-07</v>
      </c>
      <c r="L456" s="2"/>
      <c r="M456" s="2" t="s">
        <v>3569</v>
      </c>
      <c r="N456" s="4">
        <v>1</v>
      </c>
      <c r="O456" s="2" t="s">
        <v>3691</v>
      </c>
      <c r="P456" s="11" t="s">
        <v>175</v>
      </c>
      <c r="AH456" s="11">
        <f>SUBTOTAL(3,_xlfn.SINGLE(tbl_code[RowId]))</f>
        <v>1</v>
      </c>
    </row>
    <row r="457" spans="10:34">
      <c r="J457" s="4">
        <v>447</v>
      </c>
      <c r="K457" s="21" t="str">
        <f>HYPERLINK("obsidian://open?vault=o2&amp;file=2024-12-07.md","2024-12-07")</f>
        <v>2024-12-07</v>
      </c>
      <c r="L457" s="2" t="s">
        <v>3624</v>
      </c>
      <c r="M457" s="2" t="s">
        <v>3625</v>
      </c>
      <c r="N457" s="4">
        <v>3</v>
      </c>
      <c r="O457" s="2" t="s">
        <v>3626</v>
      </c>
      <c r="P457" s="11" t="s">
        <v>175</v>
      </c>
      <c r="Q457" s="2" t="s">
        <v>3627</v>
      </c>
      <c r="R457" s="11" t="s">
        <v>175</v>
      </c>
      <c r="S457" s="2" t="s">
        <v>3628</v>
      </c>
      <c r="T457" s="11" t="s">
        <v>175</v>
      </c>
      <c r="AH457" s="11">
        <f>SUBTOTAL(3,_xlfn.SINGLE(tbl_code[RowId]))</f>
        <v>1</v>
      </c>
    </row>
    <row r="458" spans="10:34">
      <c r="J458" s="4">
        <v>448</v>
      </c>
      <c r="K458" s="21" t="str">
        <f>HYPERLINK("obsidian://open?vault=o2&amp;file=2024-12-08.md","2024-12-08")</f>
        <v>2024-12-08</v>
      </c>
      <c r="L458" s="2" t="s">
        <v>3319</v>
      </c>
      <c r="M458" s="2" t="s">
        <v>3320</v>
      </c>
      <c r="N458" s="4">
        <v>2</v>
      </c>
      <c r="O458" s="2" t="s">
        <v>3548</v>
      </c>
      <c r="P458" s="11" t="s">
        <v>175</v>
      </c>
      <c r="Q458" s="2" t="s">
        <v>3549</v>
      </c>
      <c r="R458" s="11" t="s">
        <v>175</v>
      </c>
      <c r="AH458" s="11">
        <f>SUBTOTAL(3,_xlfn.SINGLE(tbl_code[RowId]))</f>
        <v>1</v>
      </c>
    </row>
    <row r="459" spans="10:34">
      <c r="J459" s="4">
        <v>449</v>
      </c>
      <c r="K459" s="21" t="str">
        <f>HYPERLINK("obsidian://open?vault=o2&amp;file=2024-12-08.md","2024-12-08")</f>
        <v>2024-12-08</v>
      </c>
      <c r="L459" s="2" t="s">
        <v>3455</v>
      </c>
      <c r="M459" s="2" t="s">
        <v>3456</v>
      </c>
      <c r="N459" s="4">
        <v>1</v>
      </c>
      <c r="O459" s="2" t="s">
        <v>3656</v>
      </c>
      <c r="P459" s="11" t="s">
        <v>175</v>
      </c>
      <c r="AH459" s="11">
        <f>SUBTOTAL(3,_xlfn.SINGLE(tbl_code[RowId]))</f>
        <v>1</v>
      </c>
    </row>
    <row r="460" spans="10:34">
      <c r="J460" s="4">
        <v>450</v>
      </c>
      <c r="K460" s="21" t="str">
        <f>HYPERLINK("obsidian://open?vault=o2&amp;file=2024-12-08.md","2024-12-08")</f>
        <v>2024-12-08</v>
      </c>
      <c r="L460" s="2"/>
      <c r="M460" s="2" t="s">
        <v>3569</v>
      </c>
      <c r="N460" s="4">
        <v>1</v>
      </c>
      <c r="O460" s="2" t="s">
        <v>3692</v>
      </c>
      <c r="P460" s="11" t="s">
        <v>175</v>
      </c>
      <c r="AH460" s="11">
        <f>SUBTOTAL(3,_xlfn.SINGLE(tbl_code[RowId]))</f>
        <v>1</v>
      </c>
    </row>
    <row r="461" spans="10:34">
      <c r="J461" s="4">
        <v>451</v>
      </c>
      <c r="K461" s="21" t="str">
        <f>HYPERLINK("obsidian://open?vault=o2&amp;file=2024-12-08.md","2024-12-08")</f>
        <v>2024-12-08</v>
      </c>
      <c r="L461" s="2" t="s">
        <v>3624</v>
      </c>
      <c r="M461" s="2" t="s">
        <v>3625</v>
      </c>
      <c r="N461" s="4">
        <v>3</v>
      </c>
      <c r="O461" s="2" t="s">
        <v>3626</v>
      </c>
      <c r="P461" s="11" t="s">
        <v>175</v>
      </c>
      <c r="Q461" s="2" t="s">
        <v>3627</v>
      </c>
      <c r="R461" s="11" t="s">
        <v>175</v>
      </c>
      <c r="S461" s="2" t="s">
        <v>3628</v>
      </c>
      <c r="T461" s="11" t="s">
        <v>175</v>
      </c>
      <c r="AH461" s="11">
        <f>SUBTOTAL(3,_xlfn.SINGLE(tbl_code[RowId]))</f>
        <v>1</v>
      </c>
    </row>
    <row r="462" spans="10:34">
      <c r="J462" s="4">
        <v>452</v>
      </c>
      <c r="K462" s="21" t="str">
        <f>HYPERLINK("obsidian://open?vault=o2&amp;file=2024-12-10.md","2024-12-10")</f>
        <v>2024-12-10</v>
      </c>
      <c r="L462" s="2" t="s">
        <v>3319</v>
      </c>
      <c r="M462" s="2" t="s">
        <v>3320</v>
      </c>
      <c r="N462" s="4">
        <v>2</v>
      </c>
      <c r="O462" s="2" t="s">
        <v>3548</v>
      </c>
      <c r="P462" s="11" t="s">
        <v>175</v>
      </c>
      <c r="Q462" s="2" t="s">
        <v>3549</v>
      </c>
      <c r="R462" s="11" t="s">
        <v>175</v>
      </c>
      <c r="AH462" s="11">
        <f>SUBTOTAL(3,_xlfn.SINGLE(tbl_code[RowId]))</f>
        <v>1</v>
      </c>
    </row>
    <row r="463" spans="10:34">
      <c r="J463" s="4">
        <v>453</v>
      </c>
      <c r="K463" s="21" t="str">
        <f>HYPERLINK("obsidian://open?vault=o2&amp;file=2024-12-10.md","2024-12-10")</f>
        <v>2024-12-10</v>
      </c>
      <c r="L463" s="2" t="s">
        <v>3455</v>
      </c>
      <c r="M463" s="2" t="s">
        <v>3456</v>
      </c>
      <c r="N463" s="4">
        <v>1</v>
      </c>
      <c r="O463" s="2" t="s">
        <v>3656</v>
      </c>
      <c r="P463" s="11" t="s">
        <v>175</v>
      </c>
      <c r="AH463" s="11">
        <f>SUBTOTAL(3,_xlfn.SINGLE(tbl_code[RowId]))</f>
        <v>1</v>
      </c>
    </row>
    <row r="464" spans="10:34">
      <c r="J464" s="4">
        <v>454</v>
      </c>
      <c r="K464" s="21" t="str">
        <f>HYPERLINK("obsidian://open?vault=o2&amp;file=2024-12-10.md","2024-12-10")</f>
        <v>2024-12-10</v>
      </c>
      <c r="L464" s="2"/>
      <c r="M464" s="2" t="s">
        <v>3569</v>
      </c>
      <c r="N464" s="4">
        <v>1</v>
      </c>
      <c r="O464" s="2" t="s">
        <v>3693</v>
      </c>
      <c r="P464" s="11" t="s">
        <v>175</v>
      </c>
      <c r="AH464" s="11">
        <f>SUBTOTAL(3,_xlfn.SINGLE(tbl_code[RowId]))</f>
        <v>1</v>
      </c>
    </row>
    <row r="465" spans="10:34">
      <c r="J465" s="4">
        <v>455</v>
      </c>
      <c r="K465" s="21" t="str">
        <f>HYPERLINK("obsidian://open?vault=o2&amp;file=2024-12-10.md","2024-12-10")</f>
        <v>2024-12-10</v>
      </c>
      <c r="L465" s="2" t="s">
        <v>3624</v>
      </c>
      <c r="M465" s="2" t="s">
        <v>3625</v>
      </c>
      <c r="N465" s="4">
        <v>3</v>
      </c>
      <c r="O465" s="2" t="s">
        <v>3626</v>
      </c>
      <c r="P465" s="11" t="s">
        <v>175</v>
      </c>
      <c r="Q465" s="2" t="s">
        <v>3627</v>
      </c>
      <c r="R465" s="11" t="s">
        <v>175</v>
      </c>
      <c r="S465" s="2" t="s">
        <v>3628</v>
      </c>
      <c r="T465" s="11" t="s">
        <v>175</v>
      </c>
      <c r="AH465" s="11">
        <f>SUBTOTAL(3,_xlfn.SINGLE(tbl_code[RowId]))</f>
        <v>1</v>
      </c>
    </row>
    <row r="466" spans="10:34">
      <c r="J466" s="4">
        <v>456</v>
      </c>
      <c r="K466" s="21" t="str">
        <f>HYPERLINK("obsidian://open?vault=o2&amp;file=2024-12-12.md","2024-12-12")</f>
        <v>2024-12-12</v>
      </c>
      <c r="L466" s="2" t="s">
        <v>3319</v>
      </c>
      <c r="M466" s="2" t="s">
        <v>3320</v>
      </c>
      <c r="N466" s="4">
        <v>2</v>
      </c>
      <c r="O466" s="2" t="s">
        <v>3548</v>
      </c>
      <c r="P466" s="11" t="s">
        <v>175</v>
      </c>
      <c r="Q466" s="2" t="s">
        <v>3549</v>
      </c>
      <c r="R466" s="11" t="s">
        <v>175</v>
      </c>
      <c r="AH466" s="11">
        <f>SUBTOTAL(3,_xlfn.SINGLE(tbl_code[RowId]))</f>
        <v>1</v>
      </c>
    </row>
    <row r="467" spans="10:34">
      <c r="J467" s="4">
        <v>457</v>
      </c>
      <c r="K467" s="21" t="str">
        <f>HYPERLINK("obsidian://open?vault=o2&amp;file=2024-12-12.md","2024-12-12")</f>
        <v>2024-12-12</v>
      </c>
      <c r="L467" s="2" t="s">
        <v>3455</v>
      </c>
      <c r="M467" s="2" t="s">
        <v>3456</v>
      </c>
      <c r="N467" s="4">
        <v>1</v>
      </c>
      <c r="O467" s="2" t="s">
        <v>3656</v>
      </c>
      <c r="P467" s="11" t="s">
        <v>175</v>
      </c>
      <c r="AH467" s="11">
        <f>SUBTOTAL(3,_xlfn.SINGLE(tbl_code[RowId]))</f>
        <v>1</v>
      </c>
    </row>
    <row r="468" spans="10:34">
      <c r="J468" s="4">
        <v>458</v>
      </c>
      <c r="K468" s="21" t="str">
        <f>HYPERLINK("obsidian://open?vault=o2&amp;file=2024-12-12.md","2024-12-12")</f>
        <v>2024-12-12</v>
      </c>
      <c r="L468" s="2"/>
      <c r="M468" s="2" t="s">
        <v>3569</v>
      </c>
      <c r="N468" s="4">
        <v>1</v>
      </c>
      <c r="O468" s="2" t="s">
        <v>3694</v>
      </c>
      <c r="P468" s="11" t="s">
        <v>175</v>
      </c>
      <c r="AH468" s="11">
        <f>SUBTOTAL(3,_xlfn.SINGLE(tbl_code[RowId]))</f>
        <v>1</v>
      </c>
    </row>
    <row r="469" spans="10:34">
      <c r="J469" s="4">
        <v>459</v>
      </c>
      <c r="K469" s="21" t="str">
        <f>HYPERLINK("obsidian://open?vault=o2&amp;file=2024-12-12.md","2024-12-12")</f>
        <v>2024-12-12</v>
      </c>
      <c r="L469" s="2" t="s">
        <v>3624</v>
      </c>
      <c r="M469" s="2" t="s">
        <v>3625</v>
      </c>
      <c r="N469" s="4">
        <v>3</v>
      </c>
      <c r="O469" s="2" t="s">
        <v>3626</v>
      </c>
      <c r="P469" s="11" t="s">
        <v>175</v>
      </c>
      <c r="Q469" s="2" t="s">
        <v>3627</v>
      </c>
      <c r="R469" s="11" t="s">
        <v>175</v>
      </c>
      <c r="S469" s="2" t="s">
        <v>3628</v>
      </c>
      <c r="T469" s="11" t="s">
        <v>175</v>
      </c>
      <c r="AH469" s="11">
        <f>SUBTOTAL(3,_xlfn.SINGLE(tbl_code[RowId]))</f>
        <v>1</v>
      </c>
    </row>
    <row r="470" spans="10:34">
      <c r="J470" s="4">
        <v>460</v>
      </c>
      <c r="K470" s="21" t="str">
        <f>HYPERLINK("obsidian://open?vault=o2&amp;file=2024-12-13.md","2024-12-13")</f>
        <v>2024-12-13</v>
      </c>
      <c r="L470" s="2" t="s">
        <v>3319</v>
      </c>
      <c r="M470" s="2" t="s">
        <v>3320</v>
      </c>
      <c r="N470" s="4">
        <v>2</v>
      </c>
      <c r="O470" s="2" t="s">
        <v>3622</v>
      </c>
      <c r="P470" s="11" t="s">
        <v>175</v>
      </c>
      <c r="Q470" s="2" t="s">
        <v>3549</v>
      </c>
      <c r="R470" s="11" t="s">
        <v>175</v>
      </c>
      <c r="AH470" s="11">
        <f>SUBTOTAL(3,_xlfn.SINGLE(tbl_code[RowId]))</f>
        <v>1</v>
      </c>
    </row>
    <row r="471" spans="10:34">
      <c r="J471" s="4">
        <v>461</v>
      </c>
      <c r="K471" s="21" t="str">
        <f>HYPERLINK("obsidian://open?vault=o2&amp;file=2024-12-13.md","2024-12-13")</f>
        <v>2024-12-13</v>
      </c>
      <c r="L471" s="2" t="s">
        <v>3455</v>
      </c>
      <c r="M471" s="2" t="s">
        <v>3456</v>
      </c>
      <c r="N471" s="4">
        <v>1</v>
      </c>
      <c r="O471" s="2" t="s">
        <v>3656</v>
      </c>
      <c r="P471" s="11" t="s">
        <v>175</v>
      </c>
      <c r="AH471" s="11">
        <f>SUBTOTAL(3,_xlfn.SINGLE(tbl_code[RowId]))</f>
        <v>1</v>
      </c>
    </row>
    <row r="472" spans="10:34">
      <c r="J472" s="4">
        <v>462</v>
      </c>
      <c r="K472" s="21" t="str">
        <f>HYPERLINK("obsidian://open?vault=o2&amp;file=2024-12-13.md","2024-12-13")</f>
        <v>2024-12-13</v>
      </c>
      <c r="L472" s="2"/>
      <c r="M472" s="2" t="s">
        <v>3569</v>
      </c>
      <c r="N472" s="4">
        <v>1</v>
      </c>
      <c r="O472" s="2" t="s">
        <v>3695</v>
      </c>
      <c r="P472" s="11" t="s">
        <v>175</v>
      </c>
      <c r="AH472" s="11">
        <f>SUBTOTAL(3,_xlfn.SINGLE(tbl_code[RowId]))</f>
        <v>1</v>
      </c>
    </row>
    <row r="473" spans="10:34">
      <c r="J473" s="4">
        <v>463</v>
      </c>
      <c r="K473" s="21" t="str">
        <f>HYPERLINK("obsidian://open?vault=o2&amp;file=2024-12-13.md","2024-12-13")</f>
        <v>2024-12-13</v>
      </c>
      <c r="L473" s="2" t="s">
        <v>3624</v>
      </c>
      <c r="M473" s="2" t="s">
        <v>3625</v>
      </c>
      <c r="N473" s="4">
        <v>3</v>
      </c>
      <c r="O473" s="2" t="s">
        <v>3696</v>
      </c>
      <c r="P473" s="11" t="s">
        <v>175</v>
      </c>
      <c r="Q473" s="2" t="s">
        <v>3627</v>
      </c>
      <c r="R473" s="11" t="s">
        <v>175</v>
      </c>
      <c r="S473" s="2" t="s">
        <v>3628</v>
      </c>
      <c r="T473" s="11" t="s">
        <v>175</v>
      </c>
      <c r="AH473" s="11">
        <f>SUBTOTAL(3,_xlfn.SINGLE(tbl_code[RowId]))</f>
        <v>1</v>
      </c>
    </row>
    <row r="474" spans="10:34">
      <c r="J474" s="4">
        <v>464</v>
      </c>
      <c r="K474" s="21" t="str">
        <f>HYPERLINK("obsidian://open?vault=o2&amp;file=2024-12-14.md","2024-12-14")</f>
        <v>2024-12-14</v>
      </c>
      <c r="L474" s="2"/>
      <c r="M474" s="2" t="s">
        <v>3294</v>
      </c>
      <c r="N474" s="4">
        <v>2</v>
      </c>
      <c r="O474" s="2" t="s">
        <v>3697</v>
      </c>
      <c r="P474" s="11" t="s">
        <v>175</v>
      </c>
      <c r="Q474" s="2" t="s">
        <v>3698</v>
      </c>
      <c r="R474" s="11" t="s">
        <v>175</v>
      </c>
      <c r="AH474" s="11">
        <f>SUBTOTAL(3,_xlfn.SINGLE(tbl_code[RowId]))</f>
        <v>1</v>
      </c>
    </row>
    <row r="475" spans="10:34">
      <c r="J475" s="4">
        <v>465</v>
      </c>
      <c r="K475" s="21" t="str">
        <f>HYPERLINK("obsidian://open?vault=o2&amp;file=2024-12-14.md","2024-12-14")</f>
        <v>2024-12-14</v>
      </c>
      <c r="L475" s="2" t="s">
        <v>3319</v>
      </c>
      <c r="M475" s="2" t="s">
        <v>3320</v>
      </c>
      <c r="N475" s="4">
        <v>2</v>
      </c>
      <c r="O475" s="2" t="s">
        <v>3622</v>
      </c>
      <c r="P475" s="11" t="s">
        <v>175</v>
      </c>
      <c r="Q475" s="2" t="s">
        <v>3549</v>
      </c>
      <c r="R475" s="11" t="s">
        <v>175</v>
      </c>
      <c r="AH475" s="11">
        <f>SUBTOTAL(3,_xlfn.SINGLE(tbl_code[RowId]))</f>
        <v>1</v>
      </c>
    </row>
    <row r="476" spans="10:34">
      <c r="J476" s="4">
        <v>466</v>
      </c>
      <c r="K476" s="21" t="str">
        <f>HYPERLINK("obsidian://open?vault=o2&amp;file=2024-12-14.md","2024-12-14")</f>
        <v>2024-12-14</v>
      </c>
      <c r="L476" s="2" t="s">
        <v>3455</v>
      </c>
      <c r="M476" s="2" t="s">
        <v>3456</v>
      </c>
      <c r="N476" s="4">
        <v>1</v>
      </c>
      <c r="O476" s="2" t="s">
        <v>3656</v>
      </c>
      <c r="P476" s="11" t="s">
        <v>175</v>
      </c>
      <c r="AH476" s="11">
        <f>SUBTOTAL(3,_xlfn.SINGLE(tbl_code[RowId]))</f>
        <v>1</v>
      </c>
    </row>
    <row r="477" spans="10:34">
      <c r="J477" s="4">
        <v>467</v>
      </c>
      <c r="K477" s="21" t="str">
        <f>HYPERLINK("obsidian://open?vault=o2&amp;file=2024-12-14.md","2024-12-14")</f>
        <v>2024-12-14</v>
      </c>
      <c r="L477" s="2"/>
      <c r="M477" s="2" t="s">
        <v>3569</v>
      </c>
      <c r="N477" s="4">
        <v>1</v>
      </c>
      <c r="O477" s="2" t="s">
        <v>3699</v>
      </c>
      <c r="P477" s="11" t="s">
        <v>175</v>
      </c>
      <c r="AH477" s="11">
        <f>SUBTOTAL(3,_xlfn.SINGLE(tbl_code[RowId]))</f>
        <v>1</v>
      </c>
    </row>
    <row r="478" spans="10:34">
      <c r="J478" s="4">
        <v>468</v>
      </c>
      <c r="K478" s="21" t="str">
        <f>HYPERLINK("obsidian://open?vault=o2&amp;file=2024-12-14.md","2024-12-14")</f>
        <v>2024-12-14</v>
      </c>
      <c r="L478" s="2" t="s">
        <v>3624</v>
      </c>
      <c r="M478" s="2" t="s">
        <v>3625</v>
      </c>
      <c r="N478" s="4">
        <v>3</v>
      </c>
      <c r="O478" s="2" t="s">
        <v>3626</v>
      </c>
      <c r="P478" s="11" t="s">
        <v>175</v>
      </c>
      <c r="Q478" s="2" t="s">
        <v>3627</v>
      </c>
      <c r="R478" s="11" t="s">
        <v>175</v>
      </c>
      <c r="S478" s="2" t="s">
        <v>3628</v>
      </c>
      <c r="T478" s="11" t="s">
        <v>175</v>
      </c>
      <c r="AH478" s="11">
        <f>SUBTOTAL(3,_xlfn.SINGLE(tbl_code[RowId]))</f>
        <v>1</v>
      </c>
    </row>
    <row r="479" spans="10:34">
      <c r="J479" s="4">
        <v>469</v>
      </c>
      <c r="K479" s="21" t="str">
        <f>HYPERLINK("obsidian://open?vault=o2&amp;file=2024-12-17.md","2024-12-17")</f>
        <v>2024-12-17</v>
      </c>
      <c r="L479" s="2" t="s">
        <v>3319</v>
      </c>
      <c r="M479" s="2" t="s">
        <v>3320</v>
      </c>
      <c r="N479" s="4">
        <v>2</v>
      </c>
      <c r="O479" s="2" t="s">
        <v>3622</v>
      </c>
      <c r="P479" s="11" t="s">
        <v>175</v>
      </c>
      <c r="Q479" s="2" t="s">
        <v>3549</v>
      </c>
      <c r="R479" s="11" t="s">
        <v>175</v>
      </c>
      <c r="AH479" s="11">
        <f>SUBTOTAL(3,_xlfn.SINGLE(tbl_code[RowId]))</f>
        <v>1</v>
      </c>
    </row>
    <row r="480" spans="10:34">
      <c r="J480" s="4">
        <v>470</v>
      </c>
      <c r="K480" s="21" t="str">
        <f>HYPERLINK("obsidian://open?vault=o2&amp;file=2024-12-17.md","2024-12-17")</f>
        <v>2024-12-17</v>
      </c>
      <c r="L480" s="2" t="s">
        <v>3455</v>
      </c>
      <c r="M480" s="2" t="s">
        <v>3456</v>
      </c>
      <c r="N480" s="4">
        <v>1</v>
      </c>
      <c r="O480" s="2" t="s">
        <v>3656</v>
      </c>
      <c r="P480" s="11" t="s">
        <v>175</v>
      </c>
      <c r="AH480" s="11">
        <f>SUBTOTAL(3,_xlfn.SINGLE(tbl_code[RowId]))</f>
        <v>1</v>
      </c>
    </row>
    <row r="481" spans="10:34">
      <c r="J481" s="4">
        <v>471</v>
      </c>
      <c r="K481" s="21" t="str">
        <f>HYPERLINK("obsidian://open?vault=o2&amp;file=2024-12-17.md","2024-12-17")</f>
        <v>2024-12-17</v>
      </c>
      <c r="L481" s="2"/>
      <c r="M481" s="2" t="s">
        <v>3569</v>
      </c>
      <c r="N481" s="4">
        <v>1</v>
      </c>
      <c r="O481" s="2" t="s">
        <v>3700</v>
      </c>
      <c r="P481" s="11" t="s">
        <v>175</v>
      </c>
      <c r="AH481" s="11">
        <f>SUBTOTAL(3,_xlfn.SINGLE(tbl_code[RowId]))</f>
        <v>1</v>
      </c>
    </row>
    <row r="482" spans="10:34">
      <c r="J482" s="4">
        <v>472</v>
      </c>
      <c r="K482" s="21" t="str">
        <f>HYPERLINK("obsidian://open?vault=o2&amp;file=2024-12-17.md","2024-12-17")</f>
        <v>2024-12-17</v>
      </c>
      <c r="L482" s="2" t="s">
        <v>3624</v>
      </c>
      <c r="M482" s="2" t="s">
        <v>3625</v>
      </c>
      <c r="N482" s="4">
        <v>3</v>
      </c>
      <c r="O482" s="2" t="s">
        <v>3626</v>
      </c>
      <c r="P482" s="11" t="s">
        <v>175</v>
      </c>
      <c r="Q482" s="2" t="s">
        <v>3627</v>
      </c>
      <c r="R482" s="11" t="s">
        <v>175</v>
      </c>
      <c r="S482" s="2" t="s">
        <v>3628</v>
      </c>
      <c r="T482" s="11" t="s">
        <v>175</v>
      </c>
      <c r="AH482" s="11">
        <f>SUBTOTAL(3,_xlfn.SINGLE(tbl_code[RowId]))</f>
        <v>1</v>
      </c>
    </row>
    <row r="483" spans="10:34">
      <c r="J483" s="4">
        <v>473</v>
      </c>
      <c r="K483" s="21" t="str">
        <f>HYPERLINK("obsidian://open?vault=o2&amp;file=2024-12-18.md","2024-12-18")</f>
        <v>2024-12-18</v>
      </c>
      <c r="L483" s="2" t="s">
        <v>3319</v>
      </c>
      <c r="M483" s="2" t="s">
        <v>3320</v>
      </c>
      <c r="N483" s="4">
        <v>2</v>
      </c>
      <c r="O483" s="2" t="s">
        <v>3622</v>
      </c>
      <c r="P483" s="11" t="s">
        <v>175</v>
      </c>
      <c r="Q483" s="2" t="s">
        <v>3549</v>
      </c>
      <c r="R483" s="11" t="s">
        <v>175</v>
      </c>
      <c r="AH483" s="11">
        <f>SUBTOTAL(3,_xlfn.SINGLE(tbl_code[RowId]))</f>
        <v>1</v>
      </c>
    </row>
    <row r="484" spans="10:34">
      <c r="J484" s="4">
        <v>474</v>
      </c>
      <c r="K484" s="21" t="str">
        <f>HYPERLINK("obsidian://open?vault=o2&amp;file=2024-12-18.md","2024-12-18")</f>
        <v>2024-12-18</v>
      </c>
      <c r="L484" s="2" t="s">
        <v>3455</v>
      </c>
      <c r="M484" s="2" t="s">
        <v>3456</v>
      </c>
      <c r="N484" s="4">
        <v>1</v>
      </c>
      <c r="O484" s="2" t="s">
        <v>3656</v>
      </c>
      <c r="P484" s="11" t="s">
        <v>175</v>
      </c>
      <c r="AH484" s="11">
        <f>SUBTOTAL(3,_xlfn.SINGLE(tbl_code[RowId]))</f>
        <v>1</v>
      </c>
    </row>
    <row r="485" spans="10:34">
      <c r="J485" s="4">
        <v>475</v>
      </c>
      <c r="K485" s="21" t="str">
        <f>HYPERLINK("obsidian://open?vault=o2&amp;file=2024-12-18.md","2024-12-18")</f>
        <v>2024-12-18</v>
      </c>
      <c r="L485" s="2"/>
      <c r="M485" s="2" t="s">
        <v>3569</v>
      </c>
      <c r="N485" s="4">
        <v>1</v>
      </c>
      <c r="O485" s="2" t="s">
        <v>3701</v>
      </c>
      <c r="P485" s="11" t="s">
        <v>175</v>
      </c>
      <c r="AH485" s="11">
        <f>SUBTOTAL(3,_xlfn.SINGLE(tbl_code[RowId]))</f>
        <v>1</v>
      </c>
    </row>
    <row r="486" spans="10:34">
      <c r="J486" s="4">
        <v>476</v>
      </c>
      <c r="K486" s="21" t="str">
        <f>HYPERLINK("obsidian://open?vault=o2&amp;file=2024-12-18.md","2024-12-18")</f>
        <v>2024-12-18</v>
      </c>
      <c r="L486" s="2" t="s">
        <v>3624</v>
      </c>
      <c r="M486" s="2" t="s">
        <v>3625</v>
      </c>
      <c r="N486" s="4">
        <v>3</v>
      </c>
      <c r="O486" s="2" t="s">
        <v>3626</v>
      </c>
      <c r="P486" s="11" t="s">
        <v>175</v>
      </c>
      <c r="Q486" s="2" t="s">
        <v>3627</v>
      </c>
      <c r="R486" s="11" t="s">
        <v>175</v>
      </c>
      <c r="S486" s="2" t="s">
        <v>3628</v>
      </c>
      <c r="T486" s="11" t="s">
        <v>175</v>
      </c>
      <c r="AH486" s="11">
        <f>SUBTOTAL(3,_xlfn.SINGLE(tbl_code[RowId]))</f>
        <v>1</v>
      </c>
    </row>
    <row r="487" spans="10:34">
      <c r="J487" s="4">
        <v>477</v>
      </c>
      <c r="K487" s="21" t="str">
        <f>HYPERLINK("obsidian://open?vault=o2&amp;file=2024-12-19.md","2024-12-19")</f>
        <v>2024-12-19</v>
      </c>
      <c r="L487" s="2" t="s">
        <v>3319</v>
      </c>
      <c r="M487" s="2" t="s">
        <v>3320</v>
      </c>
      <c r="N487" s="4">
        <v>2</v>
      </c>
      <c r="O487" s="2" t="s">
        <v>3622</v>
      </c>
      <c r="P487" s="11" t="s">
        <v>175</v>
      </c>
      <c r="Q487" s="2" t="s">
        <v>3549</v>
      </c>
      <c r="R487" s="11" t="s">
        <v>175</v>
      </c>
      <c r="AH487" s="11">
        <f>SUBTOTAL(3,_xlfn.SINGLE(tbl_code[RowId]))</f>
        <v>1</v>
      </c>
    </row>
    <row r="488" spans="10:34">
      <c r="J488" s="4">
        <v>478</v>
      </c>
      <c r="K488" s="21" t="str">
        <f>HYPERLINK("obsidian://open?vault=o2&amp;file=2024-12-19.md","2024-12-19")</f>
        <v>2024-12-19</v>
      </c>
      <c r="L488" s="2"/>
      <c r="M488" s="2" t="s">
        <v>3569</v>
      </c>
      <c r="N488" s="4">
        <v>1</v>
      </c>
      <c r="O488" s="2" t="s">
        <v>3702</v>
      </c>
      <c r="P488" s="11" t="s">
        <v>175</v>
      </c>
      <c r="AH488" s="11">
        <f>SUBTOTAL(3,_xlfn.SINGLE(tbl_code[RowId]))</f>
        <v>1</v>
      </c>
    </row>
    <row r="489" spans="10:34">
      <c r="J489" s="4">
        <v>479</v>
      </c>
      <c r="K489" s="21" t="str">
        <f>HYPERLINK("obsidian://open?vault=o2&amp;file=2024-12-19.md","2024-12-19")</f>
        <v>2024-12-19</v>
      </c>
      <c r="L489" s="2" t="s">
        <v>3624</v>
      </c>
      <c r="M489" s="2" t="s">
        <v>3625</v>
      </c>
      <c r="N489" s="4">
        <v>3</v>
      </c>
      <c r="O489" s="2" t="s">
        <v>3626</v>
      </c>
      <c r="P489" s="11" t="s">
        <v>175</v>
      </c>
      <c r="Q489" s="2" t="s">
        <v>3627</v>
      </c>
      <c r="R489" s="11" t="s">
        <v>175</v>
      </c>
      <c r="S489" s="2" t="s">
        <v>3628</v>
      </c>
      <c r="T489" s="11" t="s">
        <v>175</v>
      </c>
      <c r="AH489" s="11">
        <f>SUBTOTAL(3,_xlfn.SINGLE(tbl_code[RowId]))</f>
        <v>1</v>
      </c>
    </row>
    <row r="490" spans="10:34">
      <c r="J490" s="4">
        <v>480</v>
      </c>
      <c r="K490" s="21" t="str">
        <f>HYPERLINK("obsidian://open?vault=o2&amp;file=2024-12-20.md","2024-12-20")</f>
        <v>2024-12-20</v>
      </c>
      <c r="L490" s="2" t="s">
        <v>3319</v>
      </c>
      <c r="M490" s="2" t="s">
        <v>3320</v>
      </c>
      <c r="N490" s="4">
        <v>2</v>
      </c>
      <c r="O490" s="2" t="s">
        <v>3622</v>
      </c>
      <c r="P490" s="11" t="s">
        <v>175</v>
      </c>
      <c r="Q490" s="2" t="s">
        <v>3549</v>
      </c>
      <c r="R490" s="11" t="s">
        <v>175</v>
      </c>
      <c r="AH490" s="11">
        <f>SUBTOTAL(3,_xlfn.SINGLE(tbl_code[RowId]))</f>
        <v>1</v>
      </c>
    </row>
    <row r="491" spans="10:34">
      <c r="J491" s="4">
        <v>481</v>
      </c>
      <c r="K491" s="21" t="str">
        <f>HYPERLINK("obsidian://open?vault=o2&amp;file=2024-12-20.md","2024-12-20")</f>
        <v>2024-12-20</v>
      </c>
      <c r="L491" s="2" t="s">
        <v>3455</v>
      </c>
      <c r="M491" s="2" t="s">
        <v>3456</v>
      </c>
      <c r="N491" s="4">
        <v>1</v>
      </c>
      <c r="O491" s="2" t="s">
        <v>3656</v>
      </c>
      <c r="P491" s="11" t="s">
        <v>175</v>
      </c>
      <c r="AH491" s="11">
        <f>SUBTOTAL(3,_xlfn.SINGLE(tbl_code[RowId]))</f>
        <v>1</v>
      </c>
    </row>
    <row r="492" spans="10:34">
      <c r="J492" s="4">
        <v>482</v>
      </c>
      <c r="K492" s="21" t="str">
        <f>HYPERLINK("obsidian://open?vault=o2&amp;file=2024-12-20.md","2024-12-20")</f>
        <v>2024-12-20</v>
      </c>
      <c r="L492" s="2"/>
      <c r="M492" s="2" t="s">
        <v>3569</v>
      </c>
      <c r="N492" s="4">
        <v>1</v>
      </c>
      <c r="O492" s="2" t="s">
        <v>3703</v>
      </c>
      <c r="P492" s="11" t="s">
        <v>175</v>
      </c>
      <c r="AH492" s="11">
        <f>SUBTOTAL(3,_xlfn.SINGLE(tbl_code[RowId]))</f>
        <v>1</v>
      </c>
    </row>
    <row r="493" spans="10:34">
      <c r="J493" s="4">
        <v>483</v>
      </c>
      <c r="K493" s="21" t="str">
        <f>HYPERLINK("obsidian://open?vault=o2&amp;file=2024-12-20.md","2024-12-20")</f>
        <v>2024-12-20</v>
      </c>
      <c r="L493" s="2" t="s">
        <v>3624</v>
      </c>
      <c r="M493" s="2" t="s">
        <v>3625</v>
      </c>
      <c r="N493" s="4">
        <v>3</v>
      </c>
      <c r="O493" s="2" t="s">
        <v>3626</v>
      </c>
      <c r="P493" s="11" t="s">
        <v>175</v>
      </c>
      <c r="Q493" s="2" t="s">
        <v>3627</v>
      </c>
      <c r="R493" s="11" t="s">
        <v>175</v>
      </c>
      <c r="S493" s="2" t="s">
        <v>3628</v>
      </c>
      <c r="T493" s="11" t="s">
        <v>175</v>
      </c>
      <c r="AH493" s="11">
        <f>SUBTOTAL(3,_xlfn.SINGLE(tbl_code[RowId]))</f>
        <v>1</v>
      </c>
    </row>
    <row r="494" spans="10:34">
      <c r="J494" s="4">
        <v>484</v>
      </c>
      <c r="K494" s="21" t="str">
        <f>HYPERLINK("obsidian://open?vault=o2&amp;file=2024-12-21.md","2024-12-21")</f>
        <v>2024-12-21</v>
      </c>
      <c r="L494" s="2" t="s">
        <v>3319</v>
      </c>
      <c r="M494" s="2" t="s">
        <v>3320</v>
      </c>
      <c r="N494" s="4">
        <v>2</v>
      </c>
      <c r="O494" s="2" t="s">
        <v>3622</v>
      </c>
      <c r="P494" s="11" t="s">
        <v>175</v>
      </c>
      <c r="Q494" s="2" t="s">
        <v>3549</v>
      </c>
      <c r="R494" s="11" t="s">
        <v>175</v>
      </c>
      <c r="AH494" s="11">
        <f>SUBTOTAL(3,_xlfn.SINGLE(tbl_code[RowId]))</f>
        <v>1</v>
      </c>
    </row>
    <row r="495" spans="10:34">
      <c r="J495" s="4">
        <v>485</v>
      </c>
      <c r="K495" s="21" t="str">
        <f>HYPERLINK("obsidian://open?vault=o2&amp;file=2024-12-21.md","2024-12-21")</f>
        <v>2024-12-21</v>
      </c>
      <c r="L495" s="2" t="s">
        <v>3455</v>
      </c>
      <c r="M495" s="2" t="s">
        <v>3456</v>
      </c>
      <c r="N495" s="4">
        <v>1</v>
      </c>
      <c r="O495" s="2" t="s">
        <v>3656</v>
      </c>
      <c r="P495" s="11" t="s">
        <v>175</v>
      </c>
      <c r="AH495" s="11">
        <f>SUBTOTAL(3,_xlfn.SINGLE(tbl_code[RowId]))</f>
        <v>1</v>
      </c>
    </row>
    <row r="496" spans="10:34">
      <c r="J496" s="4">
        <v>486</v>
      </c>
      <c r="K496" s="21" t="str">
        <f>HYPERLINK("obsidian://open?vault=o2&amp;file=2024-12-21.md","2024-12-21")</f>
        <v>2024-12-21</v>
      </c>
      <c r="L496" s="2"/>
      <c r="M496" s="2" t="s">
        <v>3569</v>
      </c>
      <c r="N496" s="4">
        <v>1</v>
      </c>
      <c r="O496" s="2" t="s">
        <v>3704</v>
      </c>
      <c r="P496" s="11" t="s">
        <v>175</v>
      </c>
      <c r="AH496" s="11">
        <f>SUBTOTAL(3,_xlfn.SINGLE(tbl_code[RowId]))</f>
        <v>1</v>
      </c>
    </row>
    <row r="497" spans="10:34">
      <c r="J497" s="4">
        <v>487</v>
      </c>
      <c r="K497" s="21" t="str">
        <f>HYPERLINK("obsidian://open?vault=o2&amp;file=2024-12-21.md","2024-12-21")</f>
        <v>2024-12-21</v>
      </c>
      <c r="L497" s="2" t="s">
        <v>3624</v>
      </c>
      <c r="M497" s="2" t="s">
        <v>3625</v>
      </c>
      <c r="N497" s="4">
        <v>3</v>
      </c>
      <c r="O497" s="2" t="s">
        <v>3626</v>
      </c>
      <c r="P497" s="11" t="s">
        <v>175</v>
      </c>
      <c r="Q497" s="2" t="s">
        <v>3627</v>
      </c>
      <c r="R497" s="11" t="s">
        <v>175</v>
      </c>
      <c r="S497" s="2" t="s">
        <v>3628</v>
      </c>
      <c r="T497" s="11" t="s">
        <v>175</v>
      </c>
      <c r="AH497" s="11">
        <f>SUBTOTAL(3,_xlfn.SINGLE(tbl_code[RowId]))</f>
        <v>1</v>
      </c>
    </row>
    <row r="498" spans="10:34">
      <c r="J498" s="4">
        <v>488</v>
      </c>
      <c r="K498" s="21" t="str">
        <f>HYPERLINK("obsidian://open?vault=o2&amp;file=2024-12-23.md","2024-12-23")</f>
        <v>2024-12-23</v>
      </c>
      <c r="L498" s="2" t="s">
        <v>3319</v>
      </c>
      <c r="M498" s="2" t="s">
        <v>3320</v>
      </c>
      <c r="N498" s="4">
        <v>1</v>
      </c>
      <c r="O498" s="2" t="s">
        <v>3549</v>
      </c>
      <c r="P498" s="11" t="s">
        <v>175</v>
      </c>
      <c r="AH498" s="11">
        <f>SUBTOTAL(3,_xlfn.SINGLE(tbl_code[RowId]))</f>
        <v>1</v>
      </c>
    </row>
    <row r="499" spans="10:34">
      <c r="J499" s="4">
        <v>489</v>
      </c>
      <c r="K499" s="21" t="str">
        <f>HYPERLINK("obsidian://open?vault=o2&amp;file=2024-12-23.md","2024-12-23")</f>
        <v>2024-12-23</v>
      </c>
      <c r="L499" s="2" t="s">
        <v>3455</v>
      </c>
      <c r="M499" s="2" t="s">
        <v>3456</v>
      </c>
      <c r="N499" s="4">
        <v>1</v>
      </c>
      <c r="O499" s="2" t="s">
        <v>3656</v>
      </c>
      <c r="P499" s="11" t="s">
        <v>175</v>
      </c>
      <c r="AH499" s="11">
        <f>SUBTOTAL(3,_xlfn.SINGLE(tbl_code[RowId]))</f>
        <v>1</v>
      </c>
    </row>
    <row r="500" spans="10:34">
      <c r="J500" s="4">
        <v>490</v>
      </c>
      <c r="K500" s="21" t="str">
        <f>HYPERLINK("obsidian://open?vault=o2&amp;file=2024-12-23.md","2024-12-23")</f>
        <v>2024-12-23</v>
      </c>
      <c r="L500" s="2"/>
      <c r="M500" s="2" t="s">
        <v>3569</v>
      </c>
      <c r="N500" s="4">
        <v>1</v>
      </c>
      <c r="O500" s="2" t="s">
        <v>3705</v>
      </c>
      <c r="P500" s="11" t="s">
        <v>175</v>
      </c>
      <c r="AH500" s="11">
        <f>SUBTOTAL(3,_xlfn.SINGLE(tbl_code[RowId]))</f>
        <v>1</v>
      </c>
    </row>
    <row r="501" spans="10:34">
      <c r="J501" s="4">
        <v>491</v>
      </c>
      <c r="K501" s="21" t="str">
        <f>HYPERLINK("obsidian://open?vault=o2&amp;file=2024-12-24.md","2024-12-24")</f>
        <v>2024-12-24</v>
      </c>
      <c r="L501" s="2" t="s">
        <v>3319</v>
      </c>
      <c r="M501" s="2" t="s">
        <v>3320</v>
      </c>
      <c r="N501" s="4">
        <v>2</v>
      </c>
      <c r="O501" s="2" t="s">
        <v>3622</v>
      </c>
      <c r="P501" s="11" t="s">
        <v>175</v>
      </c>
      <c r="Q501" s="2" t="s">
        <v>3549</v>
      </c>
      <c r="R501" s="11" t="s">
        <v>175</v>
      </c>
      <c r="AH501" s="11">
        <f>SUBTOTAL(3,_xlfn.SINGLE(tbl_code[RowId]))</f>
        <v>1</v>
      </c>
    </row>
    <row r="502" spans="10:34">
      <c r="J502" s="4">
        <v>492</v>
      </c>
      <c r="K502" s="21" t="str">
        <f>HYPERLINK("obsidian://open?vault=o2&amp;file=2024-12-24.md","2024-12-24")</f>
        <v>2024-12-24</v>
      </c>
      <c r="L502" s="2" t="s">
        <v>3455</v>
      </c>
      <c r="M502" s="2" t="s">
        <v>3456</v>
      </c>
      <c r="N502" s="4">
        <v>1</v>
      </c>
      <c r="O502" s="2" t="s">
        <v>3656</v>
      </c>
      <c r="P502" s="11" t="s">
        <v>175</v>
      </c>
      <c r="AH502" s="11">
        <f>SUBTOTAL(3,_xlfn.SINGLE(tbl_code[RowId]))</f>
        <v>1</v>
      </c>
    </row>
    <row r="503" spans="10:34">
      <c r="J503" s="4">
        <v>493</v>
      </c>
      <c r="K503" s="21" t="str">
        <f>HYPERLINK("obsidian://open?vault=o2&amp;file=2024-12-24.md","2024-12-24")</f>
        <v>2024-12-24</v>
      </c>
      <c r="L503" s="2"/>
      <c r="M503" s="2" t="s">
        <v>3569</v>
      </c>
      <c r="N503" s="4">
        <v>1</v>
      </c>
      <c r="O503" s="2" t="s">
        <v>3706</v>
      </c>
      <c r="P503" s="11" t="s">
        <v>175</v>
      </c>
      <c r="AH503" s="11">
        <f>SUBTOTAL(3,_xlfn.SINGLE(tbl_code[RowId]))</f>
        <v>1</v>
      </c>
    </row>
    <row r="504" spans="10:34">
      <c r="J504" s="4">
        <v>494</v>
      </c>
      <c r="K504" s="21" t="str">
        <f>HYPERLINK("obsidian://open?vault=o2&amp;file=2024-12-24.md","2024-12-24")</f>
        <v>2024-12-24</v>
      </c>
      <c r="L504" s="2" t="s">
        <v>3624</v>
      </c>
      <c r="M504" s="2" t="s">
        <v>3625</v>
      </c>
      <c r="N504" s="4">
        <v>3</v>
      </c>
      <c r="O504" s="2" t="s">
        <v>3626</v>
      </c>
      <c r="P504" s="11" t="s">
        <v>175</v>
      </c>
      <c r="Q504" s="2" t="s">
        <v>3627</v>
      </c>
      <c r="R504" s="11" t="s">
        <v>175</v>
      </c>
      <c r="S504" s="2" t="s">
        <v>3628</v>
      </c>
      <c r="T504" s="11" t="s">
        <v>175</v>
      </c>
      <c r="AH504" s="11">
        <f>SUBTOTAL(3,_xlfn.SINGLE(tbl_code[RowId]))</f>
        <v>1</v>
      </c>
    </row>
    <row r="505" spans="10:34">
      <c r="J505" s="4">
        <v>495</v>
      </c>
      <c r="K505" s="21" t="str">
        <f>HYPERLINK("obsidian://open?vault=o2&amp;file=2024-12-25.md","2024-12-25")</f>
        <v>2024-12-25</v>
      </c>
      <c r="L505" s="2" t="s">
        <v>3319</v>
      </c>
      <c r="M505" s="2" t="s">
        <v>3320</v>
      </c>
      <c r="N505" s="4">
        <v>2</v>
      </c>
      <c r="O505" s="2" t="s">
        <v>3622</v>
      </c>
      <c r="P505" s="11" t="s">
        <v>175</v>
      </c>
      <c r="Q505" s="2" t="s">
        <v>3549</v>
      </c>
      <c r="R505" s="11" t="s">
        <v>175</v>
      </c>
      <c r="AH505" s="11">
        <f>SUBTOTAL(3,_xlfn.SINGLE(tbl_code[RowId]))</f>
        <v>1</v>
      </c>
    </row>
    <row r="506" spans="10:34">
      <c r="J506" s="4">
        <v>496</v>
      </c>
      <c r="K506" s="21" t="str">
        <f>HYPERLINK("obsidian://open?vault=o2&amp;file=2024-12-25.md","2024-12-25")</f>
        <v>2024-12-25</v>
      </c>
      <c r="L506" s="2" t="s">
        <v>3455</v>
      </c>
      <c r="M506" s="2" t="s">
        <v>3456</v>
      </c>
      <c r="N506" s="4">
        <v>1</v>
      </c>
      <c r="O506" s="2" t="s">
        <v>3656</v>
      </c>
      <c r="P506" s="11" t="s">
        <v>175</v>
      </c>
      <c r="AH506" s="11">
        <f>SUBTOTAL(3,_xlfn.SINGLE(tbl_code[RowId]))</f>
        <v>1</v>
      </c>
    </row>
    <row r="507" spans="10:34">
      <c r="J507" s="4">
        <v>497</v>
      </c>
      <c r="K507" s="21" t="str">
        <f>HYPERLINK("obsidian://open?vault=o2&amp;file=2024-12-25.md","2024-12-25")</f>
        <v>2024-12-25</v>
      </c>
      <c r="L507" s="2"/>
      <c r="M507" s="2" t="s">
        <v>3569</v>
      </c>
      <c r="N507" s="4">
        <v>1</v>
      </c>
      <c r="O507" s="2" t="s">
        <v>3707</v>
      </c>
      <c r="P507" s="11" t="s">
        <v>175</v>
      </c>
      <c r="AH507" s="11">
        <f>SUBTOTAL(3,_xlfn.SINGLE(tbl_code[RowId]))</f>
        <v>1</v>
      </c>
    </row>
    <row r="508" spans="10:34">
      <c r="J508" s="4">
        <v>498</v>
      </c>
      <c r="K508" s="21" t="str">
        <f>HYPERLINK("obsidian://open?vault=o2&amp;file=2024-12-25.md","2024-12-25")</f>
        <v>2024-12-25</v>
      </c>
      <c r="L508" s="2" t="s">
        <v>3624</v>
      </c>
      <c r="M508" s="2" t="s">
        <v>3625</v>
      </c>
      <c r="N508" s="4">
        <v>3</v>
      </c>
      <c r="O508" s="2" t="s">
        <v>3626</v>
      </c>
      <c r="P508" s="11" t="s">
        <v>175</v>
      </c>
      <c r="Q508" s="2" t="s">
        <v>3627</v>
      </c>
      <c r="R508" s="11" t="s">
        <v>175</v>
      </c>
      <c r="S508" s="2" t="s">
        <v>3628</v>
      </c>
      <c r="T508" s="11" t="s">
        <v>175</v>
      </c>
      <c r="AH508" s="11">
        <f>SUBTOTAL(3,_xlfn.SINGLE(tbl_code[RowId]))</f>
        <v>1</v>
      </c>
    </row>
    <row r="509" spans="10:34">
      <c r="J509" s="4">
        <v>499</v>
      </c>
      <c r="K509" s="21" t="str">
        <f>HYPERLINK("obsidian://open?vault=o2&amp;file=2024-12-26.md","2024-12-26")</f>
        <v>2024-12-26</v>
      </c>
      <c r="L509" s="2" t="s">
        <v>3319</v>
      </c>
      <c r="M509" s="2" t="s">
        <v>3320</v>
      </c>
      <c r="N509" s="4">
        <v>2</v>
      </c>
      <c r="O509" s="2" t="s">
        <v>3622</v>
      </c>
      <c r="P509" s="11" t="s">
        <v>175</v>
      </c>
      <c r="Q509" s="2" t="s">
        <v>3549</v>
      </c>
      <c r="R509" s="11" t="s">
        <v>175</v>
      </c>
      <c r="AH509" s="11">
        <f>SUBTOTAL(3,_xlfn.SINGLE(tbl_code[RowId]))</f>
        <v>1</v>
      </c>
    </row>
    <row r="510" spans="10:34">
      <c r="J510" s="4">
        <v>500</v>
      </c>
      <c r="K510" s="21" t="str">
        <f>HYPERLINK("obsidian://open?vault=o2&amp;file=2024-12-26.md","2024-12-26")</f>
        <v>2024-12-26</v>
      </c>
      <c r="L510" s="2"/>
      <c r="M510" s="2" t="s">
        <v>3569</v>
      </c>
      <c r="N510" s="4">
        <v>1</v>
      </c>
      <c r="O510" s="2" t="s">
        <v>3708</v>
      </c>
      <c r="P510" s="11" t="s">
        <v>175</v>
      </c>
      <c r="AH510" s="11">
        <f>SUBTOTAL(3,_xlfn.SINGLE(tbl_code[RowId]))</f>
        <v>1</v>
      </c>
    </row>
    <row r="511" spans="10:34">
      <c r="J511" s="4">
        <v>501</v>
      </c>
      <c r="K511" s="21" t="str">
        <f>HYPERLINK("obsidian://open?vault=o2&amp;file=2024-12-26.md","2024-12-26")</f>
        <v>2024-12-26</v>
      </c>
      <c r="L511" s="2" t="s">
        <v>3624</v>
      </c>
      <c r="M511" s="2" t="s">
        <v>3625</v>
      </c>
      <c r="N511" s="4">
        <v>3</v>
      </c>
      <c r="O511" s="2" t="s">
        <v>3626</v>
      </c>
      <c r="P511" s="11" t="s">
        <v>175</v>
      </c>
      <c r="Q511" s="2" t="s">
        <v>3627</v>
      </c>
      <c r="R511" s="11" t="s">
        <v>175</v>
      </c>
      <c r="S511" s="2" t="s">
        <v>3628</v>
      </c>
      <c r="T511" s="11" t="s">
        <v>175</v>
      </c>
      <c r="AH511" s="11">
        <f>SUBTOTAL(3,_xlfn.SINGLE(tbl_code[RowId]))</f>
        <v>1</v>
      </c>
    </row>
    <row r="512" spans="10:34">
      <c r="J512" s="4">
        <v>502</v>
      </c>
      <c r="K512" s="21" t="str">
        <f>HYPERLINK("obsidian://open?vault=o2&amp;file=2024-12-28.md","2024-12-28")</f>
        <v>2024-12-28</v>
      </c>
      <c r="L512" s="2" t="s">
        <v>3319</v>
      </c>
      <c r="M512" s="2" t="s">
        <v>3320</v>
      </c>
      <c r="N512" s="4">
        <v>2</v>
      </c>
      <c r="O512" s="2" t="s">
        <v>3622</v>
      </c>
      <c r="P512" s="11" t="s">
        <v>175</v>
      </c>
      <c r="Q512" s="2" t="s">
        <v>3549</v>
      </c>
      <c r="R512" s="11" t="s">
        <v>175</v>
      </c>
      <c r="AH512" s="11">
        <f>SUBTOTAL(3,_xlfn.SINGLE(tbl_code[RowId]))</f>
        <v>1</v>
      </c>
    </row>
    <row r="513" spans="10:34">
      <c r="J513" s="4">
        <v>503</v>
      </c>
      <c r="K513" s="21" t="str">
        <f>HYPERLINK("obsidian://open?vault=o2&amp;file=2024-12-28.md","2024-12-28")</f>
        <v>2024-12-28</v>
      </c>
      <c r="L513" s="2" t="s">
        <v>3455</v>
      </c>
      <c r="M513" s="2" t="s">
        <v>3456</v>
      </c>
      <c r="N513" s="4">
        <v>1</v>
      </c>
      <c r="O513" s="2" t="s">
        <v>3656</v>
      </c>
      <c r="P513" s="11" t="s">
        <v>175</v>
      </c>
      <c r="AH513" s="11">
        <f>SUBTOTAL(3,_xlfn.SINGLE(tbl_code[RowId]))</f>
        <v>1</v>
      </c>
    </row>
    <row r="514" spans="10:34">
      <c r="J514" s="4">
        <v>504</v>
      </c>
      <c r="K514" s="21" t="str">
        <f>HYPERLINK("obsidian://open?vault=o2&amp;file=2024-12-28.md","2024-12-28")</f>
        <v>2024-12-28</v>
      </c>
      <c r="L514" s="2"/>
      <c r="M514" s="2" t="s">
        <v>3569</v>
      </c>
      <c r="N514" s="4">
        <v>1</v>
      </c>
      <c r="O514" s="2" t="s">
        <v>3709</v>
      </c>
      <c r="P514" s="11" t="s">
        <v>175</v>
      </c>
      <c r="AH514" s="11">
        <f>SUBTOTAL(3,_xlfn.SINGLE(tbl_code[RowId]))</f>
        <v>1</v>
      </c>
    </row>
    <row r="515" spans="10:34">
      <c r="J515" s="4">
        <v>505</v>
      </c>
      <c r="K515" s="21" t="str">
        <f>HYPERLINK("obsidian://open?vault=o2&amp;file=2024-12-28.md","2024-12-28")</f>
        <v>2024-12-28</v>
      </c>
      <c r="L515" s="2" t="s">
        <v>3624</v>
      </c>
      <c r="M515" s="2" t="s">
        <v>3625</v>
      </c>
      <c r="N515" s="4">
        <v>3</v>
      </c>
      <c r="O515" s="2" t="s">
        <v>3626</v>
      </c>
      <c r="P515" s="11" t="s">
        <v>175</v>
      </c>
      <c r="Q515" s="2" t="s">
        <v>3627</v>
      </c>
      <c r="R515" s="11" t="s">
        <v>175</v>
      </c>
      <c r="S515" s="2" t="s">
        <v>3628</v>
      </c>
      <c r="T515" s="11" t="s">
        <v>175</v>
      </c>
      <c r="AH515" s="11">
        <f>SUBTOTAL(3,_xlfn.SINGLE(tbl_code[RowId]))</f>
        <v>1</v>
      </c>
    </row>
    <row r="516" spans="10:34">
      <c r="J516" s="4">
        <v>506</v>
      </c>
      <c r="K516" s="21" t="str">
        <f>HYPERLINK("obsidian://open?vault=o2&amp;file=2024-12-29.md","2024-12-29")</f>
        <v>2024-12-29</v>
      </c>
      <c r="L516" s="2" t="s">
        <v>3319</v>
      </c>
      <c r="M516" s="2" t="s">
        <v>3320</v>
      </c>
      <c r="N516" s="4">
        <v>2</v>
      </c>
      <c r="O516" s="2" t="s">
        <v>3622</v>
      </c>
      <c r="P516" s="11" t="s">
        <v>175</v>
      </c>
      <c r="Q516" s="2" t="s">
        <v>3549</v>
      </c>
      <c r="R516" s="11" t="s">
        <v>175</v>
      </c>
      <c r="AH516" s="11">
        <f>SUBTOTAL(3,_xlfn.SINGLE(tbl_code[RowId]))</f>
        <v>1</v>
      </c>
    </row>
    <row r="517" spans="10:34">
      <c r="J517" s="4">
        <v>507</v>
      </c>
      <c r="K517" s="21" t="str">
        <f>HYPERLINK("obsidian://open?vault=o2&amp;file=2024-12-29.md","2024-12-29")</f>
        <v>2024-12-29</v>
      </c>
      <c r="L517" s="2" t="s">
        <v>3455</v>
      </c>
      <c r="M517" s="2" t="s">
        <v>3456</v>
      </c>
      <c r="N517" s="4">
        <v>1</v>
      </c>
      <c r="O517" s="2" t="s">
        <v>3656</v>
      </c>
      <c r="P517" s="11" t="s">
        <v>175</v>
      </c>
      <c r="AH517" s="11">
        <f>SUBTOTAL(3,_xlfn.SINGLE(tbl_code[RowId]))</f>
        <v>1</v>
      </c>
    </row>
    <row r="518" spans="10:34">
      <c r="J518" s="4">
        <v>508</v>
      </c>
      <c r="K518" s="21" t="str">
        <f>HYPERLINK("obsidian://open?vault=o2&amp;file=2024-12-29.md","2024-12-29")</f>
        <v>2024-12-29</v>
      </c>
      <c r="L518" s="2"/>
      <c r="M518" s="2" t="s">
        <v>3569</v>
      </c>
      <c r="N518" s="4">
        <v>1</v>
      </c>
      <c r="O518" s="2" t="s">
        <v>3710</v>
      </c>
      <c r="P518" s="11" t="s">
        <v>175</v>
      </c>
      <c r="AH518" s="11">
        <f>SUBTOTAL(3,_xlfn.SINGLE(tbl_code[RowId]))</f>
        <v>1</v>
      </c>
    </row>
    <row r="519" spans="10:34">
      <c r="J519" s="4">
        <v>509</v>
      </c>
      <c r="K519" s="21" t="str">
        <f>HYPERLINK("obsidian://open?vault=o2&amp;file=2024-12-29.md","2024-12-29")</f>
        <v>2024-12-29</v>
      </c>
      <c r="L519" s="2" t="s">
        <v>3624</v>
      </c>
      <c r="M519" s="2" t="s">
        <v>3625</v>
      </c>
      <c r="N519" s="4">
        <v>3</v>
      </c>
      <c r="O519" s="2" t="s">
        <v>3626</v>
      </c>
      <c r="P519" s="11" t="s">
        <v>175</v>
      </c>
      <c r="Q519" s="2" t="s">
        <v>3627</v>
      </c>
      <c r="R519" s="11" t="s">
        <v>175</v>
      </c>
      <c r="S519" s="2" t="s">
        <v>3628</v>
      </c>
      <c r="T519" s="11" t="s">
        <v>175</v>
      </c>
      <c r="AH519" s="11">
        <f>SUBTOTAL(3,_xlfn.SINGLE(tbl_code[RowId]))</f>
        <v>1</v>
      </c>
    </row>
    <row r="520" spans="10:34">
      <c r="J520" s="4">
        <v>510</v>
      </c>
      <c r="K520" s="21" t="str">
        <f>HYPERLINK("obsidian://open?vault=o2&amp;file=2024-12-30.md","2024-12-30")</f>
        <v>2024-12-30</v>
      </c>
      <c r="L520" s="2" t="s">
        <v>3319</v>
      </c>
      <c r="M520" s="2" t="s">
        <v>3320</v>
      </c>
      <c r="N520" s="4">
        <v>2</v>
      </c>
      <c r="O520" s="2" t="s">
        <v>3622</v>
      </c>
      <c r="P520" s="11" t="s">
        <v>175</v>
      </c>
      <c r="Q520" s="2" t="s">
        <v>3549</v>
      </c>
      <c r="R520" s="11" t="s">
        <v>175</v>
      </c>
      <c r="AH520" s="11">
        <f>SUBTOTAL(3,_xlfn.SINGLE(tbl_code[RowId]))</f>
        <v>1</v>
      </c>
    </row>
    <row r="521" spans="10:34">
      <c r="J521" s="4">
        <v>511</v>
      </c>
      <c r="K521" s="21" t="str">
        <f>HYPERLINK("obsidian://open?vault=o2&amp;file=2024-12-30.md","2024-12-30")</f>
        <v>2024-12-30</v>
      </c>
      <c r="L521" s="2" t="s">
        <v>3455</v>
      </c>
      <c r="M521" s="2" t="s">
        <v>3456</v>
      </c>
      <c r="N521" s="4">
        <v>1</v>
      </c>
      <c r="O521" s="2" t="s">
        <v>3656</v>
      </c>
      <c r="P521" s="11" t="s">
        <v>175</v>
      </c>
      <c r="AH521" s="11">
        <f>SUBTOTAL(3,_xlfn.SINGLE(tbl_code[RowId]))</f>
        <v>1</v>
      </c>
    </row>
    <row r="522" spans="10:34">
      <c r="J522" s="4">
        <v>512</v>
      </c>
      <c r="K522" s="21" t="str">
        <f>HYPERLINK("obsidian://open?vault=o2&amp;file=2024-12-30.md","2024-12-30")</f>
        <v>2024-12-30</v>
      </c>
      <c r="L522" s="2"/>
      <c r="M522" s="2" t="s">
        <v>3569</v>
      </c>
      <c r="N522" s="4">
        <v>1</v>
      </c>
      <c r="O522" s="2" t="s">
        <v>3711</v>
      </c>
      <c r="P522" s="11" t="s">
        <v>175</v>
      </c>
      <c r="AH522" s="11">
        <f>SUBTOTAL(3,_xlfn.SINGLE(tbl_code[RowId]))</f>
        <v>1</v>
      </c>
    </row>
    <row r="523" spans="10:34">
      <c r="J523" s="4">
        <v>513</v>
      </c>
      <c r="K523" s="21" t="str">
        <f>HYPERLINK("obsidian://open?vault=o2&amp;file=2024-12-30.md","2024-12-30")</f>
        <v>2024-12-30</v>
      </c>
      <c r="L523" s="2" t="s">
        <v>3624</v>
      </c>
      <c r="M523" s="2" t="s">
        <v>3625</v>
      </c>
      <c r="N523" s="4">
        <v>3</v>
      </c>
      <c r="O523" s="2" t="s">
        <v>3626</v>
      </c>
      <c r="P523" s="11" t="s">
        <v>175</v>
      </c>
      <c r="Q523" s="2" t="s">
        <v>3627</v>
      </c>
      <c r="R523" s="11" t="s">
        <v>175</v>
      </c>
      <c r="S523" s="2" t="s">
        <v>3628</v>
      </c>
      <c r="T523" s="11" t="s">
        <v>175</v>
      </c>
      <c r="AH523" s="11">
        <f>SUBTOTAL(3,_xlfn.SINGLE(tbl_code[RowId]))</f>
        <v>1</v>
      </c>
    </row>
    <row r="524" spans="10:34">
      <c r="J524" s="4">
        <v>514</v>
      </c>
      <c r="K524" s="21" t="str">
        <f>HYPERLINK("obsidian://open?vault=o2&amp;file=2025-01-01.md","2025-01-01")</f>
        <v>2025-01-01</v>
      </c>
      <c r="L524" s="2" t="s">
        <v>3319</v>
      </c>
      <c r="M524" s="2" t="s">
        <v>3320</v>
      </c>
      <c r="N524" s="4">
        <v>2</v>
      </c>
      <c r="O524" s="2" t="s">
        <v>3622</v>
      </c>
      <c r="P524" s="11" t="s">
        <v>175</v>
      </c>
      <c r="Q524" s="2" t="s">
        <v>3549</v>
      </c>
      <c r="R524" s="11" t="s">
        <v>175</v>
      </c>
      <c r="AH524" s="11">
        <f>SUBTOTAL(3,_xlfn.SINGLE(tbl_code[RowId]))</f>
        <v>1</v>
      </c>
    </row>
    <row r="525" spans="10:34">
      <c r="J525" s="4">
        <v>515</v>
      </c>
      <c r="K525" s="21" t="str">
        <f>HYPERLINK("obsidian://open?vault=o2&amp;file=2025-01-01.md","2025-01-01")</f>
        <v>2025-01-01</v>
      </c>
      <c r="L525" s="2"/>
      <c r="M525" s="2" t="s">
        <v>3569</v>
      </c>
      <c r="N525" s="4">
        <v>1</v>
      </c>
      <c r="O525" s="2" t="s">
        <v>3712</v>
      </c>
      <c r="P525" s="11" t="s">
        <v>175</v>
      </c>
      <c r="AH525" s="11">
        <f>SUBTOTAL(3,_xlfn.SINGLE(tbl_code[RowId]))</f>
        <v>1</v>
      </c>
    </row>
    <row r="526" spans="10:34">
      <c r="J526" s="4">
        <v>516</v>
      </c>
      <c r="K526" s="21" t="str">
        <f>HYPERLINK("obsidian://open?vault=o2&amp;file=2025-01-01.md","2025-01-01")</f>
        <v>2025-01-01</v>
      </c>
      <c r="L526" s="2" t="s">
        <v>3624</v>
      </c>
      <c r="M526" s="2" t="s">
        <v>3625</v>
      </c>
      <c r="N526" s="4">
        <v>3</v>
      </c>
      <c r="O526" s="2" t="s">
        <v>3626</v>
      </c>
      <c r="P526" s="11" t="s">
        <v>175</v>
      </c>
      <c r="Q526" s="2" t="s">
        <v>3627</v>
      </c>
      <c r="R526" s="11" t="s">
        <v>175</v>
      </c>
      <c r="S526" s="2" t="s">
        <v>3628</v>
      </c>
      <c r="T526" s="11" t="s">
        <v>175</v>
      </c>
      <c r="AH526" s="11">
        <f>SUBTOTAL(3,_xlfn.SINGLE(tbl_code[RowId]))</f>
        <v>1</v>
      </c>
    </row>
    <row r="527" spans="10:34">
      <c r="J527" s="4">
        <v>517</v>
      </c>
      <c r="K527" s="21" t="str">
        <f>HYPERLINK("obsidian://open?vault=o2&amp;file=2025-01-02.md","2025-01-02")</f>
        <v>2025-01-02</v>
      </c>
      <c r="L527" s="2" t="s">
        <v>3319</v>
      </c>
      <c r="M527" s="2" t="s">
        <v>3320</v>
      </c>
      <c r="N527" s="4">
        <v>2</v>
      </c>
      <c r="O527" s="2" t="s">
        <v>3622</v>
      </c>
      <c r="P527" s="11" t="s">
        <v>175</v>
      </c>
      <c r="Q527" s="2" t="s">
        <v>3549</v>
      </c>
      <c r="R527" s="11" t="s">
        <v>175</v>
      </c>
      <c r="AH527" s="11">
        <f>SUBTOTAL(3,_xlfn.SINGLE(tbl_code[RowId]))</f>
        <v>1</v>
      </c>
    </row>
    <row r="528" spans="10:34">
      <c r="J528" s="4">
        <v>518</v>
      </c>
      <c r="K528" s="21" t="str">
        <f>HYPERLINK("obsidian://open?vault=o2&amp;file=2025-01-02.md","2025-01-02")</f>
        <v>2025-01-02</v>
      </c>
      <c r="L528" s="2" t="s">
        <v>3455</v>
      </c>
      <c r="M528" s="2" t="s">
        <v>3456</v>
      </c>
      <c r="N528" s="4">
        <v>1</v>
      </c>
      <c r="O528" s="2" t="s">
        <v>3656</v>
      </c>
      <c r="P528" s="11" t="s">
        <v>175</v>
      </c>
      <c r="AH528" s="11">
        <f>SUBTOTAL(3,_xlfn.SINGLE(tbl_code[RowId]))</f>
        <v>1</v>
      </c>
    </row>
    <row r="529" spans="10:34">
      <c r="J529" s="4">
        <v>519</v>
      </c>
      <c r="K529" s="21" t="str">
        <f>HYPERLINK("obsidian://open?vault=o2&amp;file=2025-01-02.md","2025-01-02")</f>
        <v>2025-01-02</v>
      </c>
      <c r="L529" s="2"/>
      <c r="M529" s="2" t="s">
        <v>3569</v>
      </c>
      <c r="N529" s="4">
        <v>1</v>
      </c>
      <c r="O529" s="2" t="s">
        <v>3713</v>
      </c>
      <c r="P529" s="11" t="s">
        <v>175</v>
      </c>
      <c r="AH529" s="11">
        <f>SUBTOTAL(3,_xlfn.SINGLE(tbl_code[RowId]))</f>
        <v>1</v>
      </c>
    </row>
    <row r="530" spans="10:34">
      <c r="J530" s="4">
        <v>520</v>
      </c>
      <c r="K530" s="21" t="str">
        <f>HYPERLINK("obsidian://open?vault=o2&amp;file=2025-01-02.md","2025-01-02")</f>
        <v>2025-01-02</v>
      </c>
      <c r="L530" s="2" t="s">
        <v>3624</v>
      </c>
      <c r="M530" s="2" t="s">
        <v>3625</v>
      </c>
      <c r="N530" s="4">
        <v>3</v>
      </c>
      <c r="O530" s="2" t="s">
        <v>3626</v>
      </c>
      <c r="P530" s="11" t="s">
        <v>175</v>
      </c>
      <c r="Q530" s="2" t="s">
        <v>3627</v>
      </c>
      <c r="R530" s="11" t="s">
        <v>175</v>
      </c>
      <c r="S530" s="2" t="s">
        <v>3628</v>
      </c>
      <c r="T530" s="11" t="s">
        <v>175</v>
      </c>
      <c r="AH530" s="11">
        <f>SUBTOTAL(3,_xlfn.SINGLE(tbl_code[RowId]))</f>
        <v>1</v>
      </c>
    </row>
    <row r="531" spans="10:34">
      <c r="J531" s="4">
        <v>521</v>
      </c>
      <c r="K531" s="21" t="str">
        <f>HYPERLINK("obsidian://open?vault=o2&amp;file=2025-01-04.md","2025-01-04")</f>
        <v>2025-01-04</v>
      </c>
      <c r="L531" s="2" t="s">
        <v>3319</v>
      </c>
      <c r="M531" s="2" t="s">
        <v>3320</v>
      </c>
      <c r="N531" s="4">
        <v>2</v>
      </c>
      <c r="O531" s="2" t="s">
        <v>3622</v>
      </c>
      <c r="P531" s="11" t="s">
        <v>175</v>
      </c>
      <c r="Q531" s="2" t="s">
        <v>3549</v>
      </c>
      <c r="R531" s="11" t="s">
        <v>175</v>
      </c>
      <c r="AH531" s="11">
        <f>SUBTOTAL(3,_xlfn.SINGLE(tbl_code[RowId]))</f>
        <v>1</v>
      </c>
    </row>
    <row r="532" spans="10:34">
      <c r="J532" s="4">
        <v>522</v>
      </c>
      <c r="K532" s="21" t="str">
        <f>HYPERLINK("obsidian://open?vault=o2&amp;file=2025-01-04.md","2025-01-04")</f>
        <v>2025-01-04</v>
      </c>
      <c r="L532" s="2"/>
      <c r="M532" s="2" t="s">
        <v>3569</v>
      </c>
      <c r="N532" s="4">
        <v>1</v>
      </c>
      <c r="O532" s="2" t="s">
        <v>3714</v>
      </c>
      <c r="P532" s="11" t="s">
        <v>175</v>
      </c>
      <c r="AH532" s="11">
        <f>SUBTOTAL(3,_xlfn.SINGLE(tbl_code[RowId]))</f>
        <v>1</v>
      </c>
    </row>
    <row r="533" spans="10:34">
      <c r="J533" s="4">
        <v>523</v>
      </c>
      <c r="K533" s="21" t="str">
        <f>HYPERLINK("obsidian://open?vault=o2&amp;file=2025-01-04.md","2025-01-04")</f>
        <v>2025-01-04</v>
      </c>
      <c r="L533" s="2" t="s">
        <v>3624</v>
      </c>
      <c r="M533" s="2" t="s">
        <v>3625</v>
      </c>
      <c r="N533" s="4">
        <v>3</v>
      </c>
      <c r="O533" s="2" t="s">
        <v>3626</v>
      </c>
      <c r="P533" s="11" t="s">
        <v>175</v>
      </c>
      <c r="Q533" s="2" t="s">
        <v>3627</v>
      </c>
      <c r="R533" s="11" t="s">
        <v>175</v>
      </c>
      <c r="S533" s="2" t="s">
        <v>3628</v>
      </c>
      <c r="T533" s="11" t="s">
        <v>175</v>
      </c>
      <c r="AH533" s="11">
        <f>SUBTOTAL(3,_xlfn.SINGLE(tbl_code[RowId]))</f>
        <v>1</v>
      </c>
    </row>
    <row r="534" spans="10:34">
      <c r="J534" s="4">
        <v>524</v>
      </c>
      <c r="K534" s="21" t="str">
        <f>HYPERLINK("obsidian://open?vault=o2&amp;file=2025-01-05.md","2025-01-05")</f>
        <v>2025-01-05</v>
      </c>
      <c r="L534" s="2" t="s">
        <v>3319</v>
      </c>
      <c r="M534" s="2" t="s">
        <v>3320</v>
      </c>
      <c r="N534" s="4">
        <v>2</v>
      </c>
      <c r="O534" s="2" t="s">
        <v>3622</v>
      </c>
      <c r="P534" s="11" t="s">
        <v>175</v>
      </c>
      <c r="Q534" s="2" t="s">
        <v>3549</v>
      </c>
      <c r="R534" s="11" t="s">
        <v>175</v>
      </c>
      <c r="AH534" s="11">
        <f>SUBTOTAL(3,_xlfn.SINGLE(tbl_code[RowId]))</f>
        <v>1</v>
      </c>
    </row>
    <row r="535" spans="10:34">
      <c r="J535" s="4">
        <v>525</v>
      </c>
      <c r="K535" s="21" t="str">
        <f>HYPERLINK("obsidian://open?vault=o2&amp;file=2025-01-05.md","2025-01-05")</f>
        <v>2025-01-05</v>
      </c>
      <c r="L535" s="2" t="s">
        <v>3455</v>
      </c>
      <c r="M535" s="2" t="s">
        <v>3456</v>
      </c>
      <c r="N535" s="4">
        <v>1</v>
      </c>
      <c r="O535" s="2" t="s">
        <v>3656</v>
      </c>
      <c r="P535" s="11" t="s">
        <v>175</v>
      </c>
      <c r="AH535" s="11">
        <f>SUBTOTAL(3,_xlfn.SINGLE(tbl_code[RowId]))</f>
        <v>1</v>
      </c>
    </row>
    <row r="536" spans="10:34">
      <c r="J536" s="4">
        <v>526</v>
      </c>
      <c r="K536" s="21" t="str">
        <f>HYPERLINK("obsidian://open?vault=o2&amp;file=2025-01-05.md","2025-01-05")</f>
        <v>2025-01-05</v>
      </c>
      <c r="L536" s="2"/>
      <c r="M536" s="2" t="s">
        <v>3569</v>
      </c>
      <c r="N536" s="4">
        <v>1</v>
      </c>
      <c r="O536" s="2" t="s">
        <v>3715</v>
      </c>
      <c r="P536" s="11" t="s">
        <v>175</v>
      </c>
      <c r="AH536" s="11">
        <f>SUBTOTAL(3,_xlfn.SINGLE(tbl_code[RowId]))</f>
        <v>1</v>
      </c>
    </row>
    <row r="537" spans="10:34">
      <c r="J537" s="4">
        <v>527</v>
      </c>
      <c r="K537" s="21" t="str">
        <f>HYPERLINK("obsidian://open?vault=o2&amp;file=2025-01-05.md","2025-01-05")</f>
        <v>2025-01-05</v>
      </c>
      <c r="L537" s="2" t="s">
        <v>3624</v>
      </c>
      <c r="M537" s="2" t="s">
        <v>3625</v>
      </c>
      <c r="N537" s="4">
        <v>3</v>
      </c>
      <c r="O537" s="2" t="s">
        <v>3626</v>
      </c>
      <c r="P537" s="11" t="s">
        <v>175</v>
      </c>
      <c r="Q537" s="2" t="s">
        <v>3627</v>
      </c>
      <c r="R537" s="11" t="s">
        <v>175</v>
      </c>
      <c r="S537" s="2" t="s">
        <v>3628</v>
      </c>
      <c r="T537" s="11" t="s">
        <v>175</v>
      </c>
      <c r="AH537" s="11">
        <f>SUBTOTAL(3,_xlfn.SINGLE(tbl_code[RowId]))</f>
        <v>1</v>
      </c>
    </row>
    <row r="538" spans="10:34">
      <c r="J538" s="4">
        <v>528</v>
      </c>
      <c r="K538" s="21" t="str">
        <f>HYPERLINK("obsidian://open?vault=o2&amp;file=2025-01-07.md","2025-01-07")</f>
        <v>2025-01-07</v>
      </c>
      <c r="L538" s="2" t="s">
        <v>3319</v>
      </c>
      <c r="M538" s="2" t="s">
        <v>3320</v>
      </c>
      <c r="N538" s="4">
        <v>2</v>
      </c>
      <c r="O538" s="2" t="s">
        <v>3622</v>
      </c>
      <c r="P538" s="11" t="s">
        <v>175</v>
      </c>
      <c r="Q538" s="2" t="s">
        <v>3549</v>
      </c>
      <c r="R538" s="11" t="s">
        <v>175</v>
      </c>
      <c r="AH538" s="11">
        <f>SUBTOTAL(3,_xlfn.SINGLE(tbl_code[RowId]))</f>
        <v>1</v>
      </c>
    </row>
    <row r="539" spans="10:34">
      <c r="J539" s="4">
        <v>529</v>
      </c>
      <c r="K539" s="21" t="str">
        <f>HYPERLINK("obsidian://open?vault=o2&amp;file=2025-01-07.md","2025-01-07")</f>
        <v>2025-01-07</v>
      </c>
      <c r="L539" s="2" t="s">
        <v>3455</v>
      </c>
      <c r="M539" s="2" t="s">
        <v>3456</v>
      </c>
      <c r="N539" s="4">
        <v>1</v>
      </c>
      <c r="O539" s="2" t="s">
        <v>3656</v>
      </c>
      <c r="P539" s="11" t="s">
        <v>175</v>
      </c>
      <c r="AH539" s="11">
        <f>SUBTOTAL(3,_xlfn.SINGLE(tbl_code[RowId]))</f>
        <v>1</v>
      </c>
    </row>
    <row r="540" spans="10:34">
      <c r="J540" s="4">
        <v>530</v>
      </c>
      <c r="K540" s="21" t="str">
        <f>HYPERLINK("obsidian://open?vault=o2&amp;file=2025-01-07.md","2025-01-07")</f>
        <v>2025-01-07</v>
      </c>
      <c r="L540" s="2"/>
      <c r="M540" s="2" t="s">
        <v>3569</v>
      </c>
      <c r="N540" s="4">
        <v>1</v>
      </c>
      <c r="O540" s="2" t="s">
        <v>3716</v>
      </c>
      <c r="P540" s="11" t="s">
        <v>175</v>
      </c>
      <c r="AH540" s="11">
        <f>SUBTOTAL(3,_xlfn.SINGLE(tbl_code[RowId]))</f>
        <v>1</v>
      </c>
    </row>
    <row r="541" spans="10:34">
      <c r="J541" s="4">
        <v>531</v>
      </c>
      <c r="K541" s="21" t="str">
        <f>HYPERLINK("obsidian://open?vault=o2&amp;file=2025-01-07.md","2025-01-07")</f>
        <v>2025-01-07</v>
      </c>
      <c r="L541" s="2" t="s">
        <v>3624</v>
      </c>
      <c r="M541" s="2" t="s">
        <v>3625</v>
      </c>
      <c r="N541" s="4">
        <v>3</v>
      </c>
      <c r="O541" s="2" t="s">
        <v>3626</v>
      </c>
      <c r="P541" s="11" t="s">
        <v>175</v>
      </c>
      <c r="Q541" s="2" t="s">
        <v>3627</v>
      </c>
      <c r="R541" s="11" t="s">
        <v>175</v>
      </c>
      <c r="S541" s="2" t="s">
        <v>3628</v>
      </c>
      <c r="T541" s="11" t="s">
        <v>175</v>
      </c>
      <c r="AH541" s="11">
        <f>SUBTOTAL(3,_xlfn.SINGLE(tbl_code[RowId]))</f>
        <v>1</v>
      </c>
    </row>
    <row r="542" spans="10:34">
      <c r="J542" s="4">
        <v>532</v>
      </c>
      <c r="K542" s="21" t="str">
        <f>HYPERLINK("obsidian://open?vault=o2&amp;file=2025-01-08.md","2025-01-08")</f>
        <v>2025-01-08</v>
      </c>
      <c r="L542" s="2" t="s">
        <v>3319</v>
      </c>
      <c r="M542" s="2" t="s">
        <v>3320</v>
      </c>
      <c r="N542" s="4">
        <v>2</v>
      </c>
      <c r="O542" s="2" t="s">
        <v>3622</v>
      </c>
      <c r="P542" s="11" t="s">
        <v>175</v>
      </c>
      <c r="Q542" s="2" t="s">
        <v>3549</v>
      </c>
      <c r="R542" s="11" t="s">
        <v>175</v>
      </c>
      <c r="AH542" s="11">
        <f>SUBTOTAL(3,_xlfn.SINGLE(tbl_code[RowId]))</f>
        <v>1</v>
      </c>
    </row>
    <row r="543" spans="10:34">
      <c r="J543" s="4">
        <v>533</v>
      </c>
      <c r="K543" s="21" t="str">
        <f>HYPERLINK("obsidian://open?vault=o2&amp;file=2025-01-08.md","2025-01-08")</f>
        <v>2025-01-08</v>
      </c>
      <c r="L543" s="2" t="s">
        <v>3455</v>
      </c>
      <c r="M543" s="2" t="s">
        <v>3456</v>
      </c>
      <c r="N543" s="4">
        <v>1</v>
      </c>
      <c r="O543" s="2" t="s">
        <v>3656</v>
      </c>
      <c r="P543" s="11" t="s">
        <v>175</v>
      </c>
      <c r="AH543" s="11">
        <f>SUBTOTAL(3,_xlfn.SINGLE(tbl_code[RowId]))</f>
        <v>1</v>
      </c>
    </row>
    <row r="544" spans="10:34">
      <c r="J544" s="4">
        <v>534</v>
      </c>
      <c r="K544" s="21" t="str">
        <f>HYPERLINK("obsidian://open?vault=o2&amp;file=2025-01-08.md","2025-01-08")</f>
        <v>2025-01-08</v>
      </c>
      <c r="L544" s="2"/>
      <c r="M544" s="2" t="s">
        <v>3569</v>
      </c>
      <c r="N544" s="4">
        <v>1</v>
      </c>
      <c r="O544" s="2" t="s">
        <v>3717</v>
      </c>
      <c r="P544" s="11" t="s">
        <v>175</v>
      </c>
      <c r="AH544" s="11">
        <f>SUBTOTAL(3,_xlfn.SINGLE(tbl_code[RowId]))</f>
        <v>1</v>
      </c>
    </row>
    <row r="545" spans="10:34">
      <c r="J545" s="4">
        <v>535</v>
      </c>
      <c r="K545" s="21" t="str">
        <f>HYPERLINK("obsidian://open?vault=o2&amp;file=2025-01-08.md","2025-01-08")</f>
        <v>2025-01-08</v>
      </c>
      <c r="L545" s="2" t="s">
        <v>3624</v>
      </c>
      <c r="M545" s="2" t="s">
        <v>3625</v>
      </c>
      <c r="N545" s="4">
        <v>3</v>
      </c>
      <c r="O545" s="2" t="s">
        <v>3626</v>
      </c>
      <c r="P545" s="11" t="s">
        <v>175</v>
      </c>
      <c r="Q545" s="2" t="s">
        <v>3627</v>
      </c>
      <c r="R545" s="11" t="s">
        <v>175</v>
      </c>
      <c r="S545" s="2" t="s">
        <v>3628</v>
      </c>
      <c r="T545" s="11" t="s">
        <v>175</v>
      </c>
      <c r="AH545" s="11">
        <f>SUBTOTAL(3,_xlfn.SINGLE(tbl_code[RowId]))</f>
        <v>1</v>
      </c>
    </row>
    <row r="546" spans="10:34">
      <c r="J546" s="4">
        <v>536</v>
      </c>
      <c r="K546" s="21" t="str">
        <f>HYPERLINK("obsidian://open?vault=o2&amp;file=2025-01-09.md","2025-01-09")</f>
        <v>2025-01-09</v>
      </c>
      <c r="L546" s="2" t="s">
        <v>3319</v>
      </c>
      <c r="M546" s="2" t="s">
        <v>3320</v>
      </c>
      <c r="N546" s="4">
        <v>2</v>
      </c>
      <c r="O546" s="2" t="s">
        <v>3622</v>
      </c>
      <c r="P546" s="11" t="s">
        <v>175</v>
      </c>
      <c r="Q546" s="2" t="s">
        <v>3549</v>
      </c>
      <c r="R546" s="11" t="s">
        <v>175</v>
      </c>
      <c r="AH546" s="11">
        <f>SUBTOTAL(3,_xlfn.SINGLE(tbl_code[RowId]))</f>
        <v>1</v>
      </c>
    </row>
    <row r="547" spans="10:34">
      <c r="J547" s="4">
        <v>537</v>
      </c>
      <c r="K547" s="21" t="str">
        <f>HYPERLINK("obsidian://open?vault=o2&amp;file=2025-01-09.md","2025-01-09")</f>
        <v>2025-01-09</v>
      </c>
      <c r="L547" s="2" t="s">
        <v>3455</v>
      </c>
      <c r="M547" s="2" t="s">
        <v>3456</v>
      </c>
      <c r="N547" s="4">
        <v>1</v>
      </c>
      <c r="O547" s="2" t="s">
        <v>3656</v>
      </c>
      <c r="P547" s="11" t="s">
        <v>175</v>
      </c>
      <c r="AH547" s="11">
        <f>SUBTOTAL(3,_xlfn.SINGLE(tbl_code[RowId]))</f>
        <v>1</v>
      </c>
    </row>
    <row r="548" spans="10:34">
      <c r="J548" s="4">
        <v>538</v>
      </c>
      <c r="K548" s="21" t="str">
        <f>HYPERLINK("obsidian://open?vault=o2&amp;file=2025-01-09.md","2025-01-09")</f>
        <v>2025-01-09</v>
      </c>
      <c r="L548" s="2"/>
      <c r="M548" s="2" t="s">
        <v>3569</v>
      </c>
      <c r="N548" s="4">
        <v>1</v>
      </c>
      <c r="O548" s="2" t="s">
        <v>3718</v>
      </c>
      <c r="P548" s="11" t="s">
        <v>175</v>
      </c>
      <c r="AH548" s="11">
        <f>SUBTOTAL(3,_xlfn.SINGLE(tbl_code[RowId]))</f>
        <v>1</v>
      </c>
    </row>
    <row r="549" spans="10:34">
      <c r="J549" s="4">
        <v>539</v>
      </c>
      <c r="K549" s="21" t="str">
        <f>HYPERLINK("obsidian://open?vault=o2&amp;file=2025-01-09.md","2025-01-09")</f>
        <v>2025-01-09</v>
      </c>
      <c r="L549" s="2" t="s">
        <v>3624</v>
      </c>
      <c r="M549" s="2" t="s">
        <v>3625</v>
      </c>
      <c r="N549" s="4">
        <v>3</v>
      </c>
      <c r="O549" s="2" t="s">
        <v>3626</v>
      </c>
      <c r="P549" s="11" t="s">
        <v>175</v>
      </c>
      <c r="Q549" s="2" t="s">
        <v>3627</v>
      </c>
      <c r="R549" s="11" t="s">
        <v>175</v>
      </c>
      <c r="S549" s="2" t="s">
        <v>3628</v>
      </c>
      <c r="T549" s="11" t="s">
        <v>175</v>
      </c>
      <c r="AH549" s="11">
        <f>SUBTOTAL(3,_xlfn.SINGLE(tbl_code[RowId]))</f>
        <v>1</v>
      </c>
    </row>
    <row r="550" spans="10:34">
      <c r="J550" s="4">
        <v>540</v>
      </c>
      <c r="K550" s="21" t="str">
        <f>HYPERLINK("obsidian://open?vault=o2&amp;file=2025-01-10.md","2025-01-10")</f>
        <v>2025-01-10</v>
      </c>
      <c r="L550" s="2" t="s">
        <v>3319</v>
      </c>
      <c r="M550" s="2" t="s">
        <v>3320</v>
      </c>
      <c r="N550" s="4">
        <v>2</v>
      </c>
      <c r="O550" s="2" t="s">
        <v>3622</v>
      </c>
      <c r="P550" s="11" t="s">
        <v>175</v>
      </c>
      <c r="Q550" s="2" t="s">
        <v>3549</v>
      </c>
      <c r="R550" s="11" t="s">
        <v>175</v>
      </c>
      <c r="AH550" s="11">
        <f>SUBTOTAL(3,_xlfn.SINGLE(tbl_code[RowId]))</f>
        <v>1</v>
      </c>
    </row>
    <row r="551" spans="10:34">
      <c r="J551" s="4">
        <v>541</v>
      </c>
      <c r="K551" s="21" t="str">
        <f>HYPERLINK("obsidian://open?vault=o2&amp;file=2025-01-10.md","2025-01-10")</f>
        <v>2025-01-10</v>
      </c>
      <c r="L551" s="2" t="s">
        <v>3455</v>
      </c>
      <c r="M551" s="2" t="s">
        <v>3456</v>
      </c>
      <c r="N551" s="4">
        <v>1</v>
      </c>
      <c r="O551" s="2" t="s">
        <v>3656</v>
      </c>
      <c r="P551" s="11" t="s">
        <v>175</v>
      </c>
      <c r="AH551" s="11">
        <f>SUBTOTAL(3,_xlfn.SINGLE(tbl_code[RowId]))</f>
        <v>1</v>
      </c>
    </row>
    <row r="552" spans="10:34">
      <c r="J552" s="4">
        <v>542</v>
      </c>
      <c r="K552" s="21" t="str">
        <f>HYPERLINK("obsidian://open?vault=o2&amp;file=2025-01-10.md","2025-01-10")</f>
        <v>2025-01-10</v>
      </c>
      <c r="L552" s="2"/>
      <c r="M552" s="2" t="s">
        <v>3569</v>
      </c>
      <c r="N552" s="4">
        <v>1</v>
      </c>
      <c r="O552" s="2" t="s">
        <v>3719</v>
      </c>
      <c r="P552" s="11" t="s">
        <v>175</v>
      </c>
      <c r="AH552" s="11">
        <f>SUBTOTAL(3,_xlfn.SINGLE(tbl_code[RowId]))</f>
        <v>1</v>
      </c>
    </row>
    <row r="553" spans="10:34">
      <c r="J553" s="4">
        <v>543</v>
      </c>
      <c r="K553" s="21" t="str">
        <f>HYPERLINK("obsidian://open?vault=o2&amp;file=2025-01-10.md","2025-01-10")</f>
        <v>2025-01-10</v>
      </c>
      <c r="L553" s="2" t="s">
        <v>3624</v>
      </c>
      <c r="M553" s="2" t="s">
        <v>3625</v>
      </c>
      <c r="N553" s="4">
        <v>3</v>
      </c>
      <c r="O553" s="2" t="s">
        <v>3626</v>
      </c>
      <c r="P553" s="11" t="s">
        <v>175</v>
      </c>
      <c r="Q553" s="2" t="s">
        <v>3627</v>
      </c>
      <c r="R553" s="11" t="s">
        <v>175</v>
      </c>
      <c r="S553" s="2" t="s">
        <v>3628</v>
      </c>
      <c r="T553" s="11" t="s">
        <v>175</v>
      </c>
      <c r="AH553" s="11">
        <f>SUBTOTAL(3,_xlfn.SINGLE(tbl_code[RowId]))</f>
        <v>1</v>
      </c>
    </row>
    <row r="554" spans="10:34">
      <c r="J554" s="4">
        <v>544</v>
      </c>
      <c r="K554" s="21" t="str">
        <f>HYPERLINK("obsidian://open?vault=o2&amp;file=2025-01-11.md","2025-01-11")</f>
        <v>2025-01-11</v>
      </c>
      <c r="L554" s="2" t="s">
        <v>3319</v>
      </c>
      <c r="M554" s="2" t="s">
        <v>3320</v>
      </c>
      <c r="N554" s="4">
        <v>2</v>
      </c>
      <c r="O554" s="2" t="s">
        <v>3622</v>
      </c>
      <c r="P554" s="11" t="s">
        <v>175</v>
      </c>
      <c r="Q554" s="2" t="s">
        <v>3549</v>
      </c>
      <c r="R554" s="11" t="s">
        <v>175</v>
      </c>
      <c r="AH554" s="11">
        <f>SUBTOTAL(3,_xlfn.SINGLE(tbl_code[RowId]))</f>
        <v>1</v>
      </c>
    </row>
    <row r="555" spans="10:34">
      <c r="J555" s="4">
        <v>545</v>
      </c>
      <c r="K555" s="21" t="str">
        <f>HYPERLINK("obsidian://open?vault=o2&amp;file=2025-01-11.md","2025-01-11")</f>
        <v>2025-01-11</v>
      </c>
      <c r="L555" s="2" t="s">
        <v>3455</v>
      </c>
      <c r="M555" s="2" t="s">
        <v>3456</v>
      </c>
      <c r="N555" s="4">
        <v>1</v>
      </c>
      <c r="O555" s="2" t="s">
        <v>3656</v>
      </c>
      <c r="P555" s="11" t="s">
        <v>175</v>
      </c>
      <c r="AH555" s="11">
        <f>SUBTOTAL(3,_xlfn.SINGLE(tbl_code[RowId]))</f>
        <v>1</v>
      </c>
    </row>
    <row r="556" spans="10:34">
      <c r="J556" s="4">
        <v>546</v>
      </c>
      <c r="K556" s="21" t="str">
        <f>HYPERLINK("obsidian://open?vault=o2&amp;file=2025-01-11.md","2025-01-11")</f>
        <v>2025-01-11</v>
      </c>
      <c r="L556" s="2"/>
      <c r="M556" s="2" t="s">
        <v>3569</v>
      </c>
      <c r="N556" s="4">
        <v>1</v>
      </c>
      <c r="O556" s="2" t="s">
        <v>3720</v>
      </c>
      <c r="P556" s="11" t="s">
        <v>175</v>
      </c>
      <c r="AH556" s="11">
        <f>SUBTOTAL(3,_xlfn.SINGLE(tbl_code[RowId]))</f>
        <v>1</v>
      </c>
    </row>
    <row r="557" spans="10:34">
      <c r="J557" s="4">
        <v>547</v>
      </c>
      <c r="K557" s="21" t="str">
        <f>HYPERLINK("obsidian://open?vault=o2&amp;file=2025-01-11.md","2025-01-11")</f>
        <v>2025-01-11</v>
      </c>
      <c r="L557" s="2" t="s">
        <v>3624</v>
      </c>
      <c r="M557" s="2" t="s">
        <v>3625</v>
      </c>
      <c r="N557" s="4">
        <v>3</v>
      </c>
      <c r="O557" s="2" t="s">
        <v>3626</v>
      </c>
      <c r="P557" s="11" t="s">
        <v>175</v>
      </c>
      <c r="Q557" s="2" t="s">
        <v>3627</v>
      </c>
      <c r="R557" s="11" t="s">
        <v>175</v>
      </c>
      <c r="S557" s="2" t="s">
        <v>3628</v>
      </c>
      <c r="T557" s="11" t="s">
        <v>175</v>
      </c>
      <c r="AH557" s="11">
        <f>SUBTOTAL(3,_xlfn.SINGLE(tbl_code[RowId]))</f>
        <v>1</v>
      </c>
    </row>
    <row r="558" spans="10:34">
      <c r="J558" s="4">
        <v>548</v>
      </c>
      <c r="K558" s="21" t="str">
        <f>HYPERLINK("obsidian://open?vault=o2&amp;file=2025-01-12.md","2025-01-12")</f>
        <v>2025-01-12</v>
      </c>
      <c r="L558" s="2" t="s">
        <v>3319</v>
      </c>
      <c r="M558" s="2" t="s">
        <v>3320</v>
      </c>
      <c r="N558" s="4">
        <v>2</v>
      </c>
      <c r="O558" s="2" t="s">
        <v>3622</v>
      </c>
      <c r="P558" s="11" t="s">
        <v>175</v>
      </c>
      <c r="Q558" s="2" t="s">
        <v>3549</v>
      </c>
      <c r="R558" s="11" t="s">
        <v>175</v>
      </c>
      <c r="AH558" s="11">
        <f>SUBTOTAL(3,_xlfn.SINGLE(tbl_code[RowId]))</f>
        <v>1</v>
      </c>
    </row>
    <row r="559" spans="10:34">
      <c r="J559" s="4">
        <v>549</v>
      </c>
      <c r="K559" s="21" t="str">
        <f>HYPERLINK("obsidian://open?vault=o2&amp;file=2025-01-12.md","2025-01-12")</f>
        <v>2025-01-12</v>
      </c>
      <c r="L559" s="2"/>
      <c r="M559" s="2" t="s">
        <v>3569</v>
      </c>
      <c r="N559" s="4">
        <v>1</v>
      </c>
      <c r="O559" s="2" t="s">
        <v>3721</v>
      </c>
      <c r="P559" s="11" t="s">
        <v>175</v>
      </c>
      <c r="AH559" s="11">
        <f>SUBTOTAL(3,_xlfn.SINGLE(tbl_code[RowId]))</f>
        <v>1</v>
      </c>
    </row>
    <row r="560" spans="10:34">
      <c r="J560" s="4">
        <v>550</v>
      </c>
      <c r="K560" s="21" t="str">
        <f>HYPERLINK("obsidian://open?vault=o2&amp;file=2025-01-12.md","2025-01-12")</f>
        <v>2025-01-12</v>
      </c>
      <c r="L560" s="2" t="s">
        <v>3624</v>
      </c>
      <c r="M560" s="2" t="s">
        <v>3625</v>
      </c>
      <c r="N560" s="4">
        <v>3</v>
      </c>
      <c r="O560" s="2" t="s">
        <v>3626</v>
      </c>
      <c r="P560" s="11" t="s">
        <v>175</v>
      </c>
      <c r="Q560" s="2" t="s">
        <v>3627</v>
      </c>
      <c r="R560" s="11" t="s">
        <v>175</v>
      </c>
      <c r="S560" s="2" t="s">
        <v>3628</v>
      </c>
      <c r="T560" s="11" t="s">
        <v>175</v>
      </c>
      <c r="AH560" s="11">
        <f>SUBTOTAL(3,_xlfn.SINGLE(tbl_code[RowId]))</f>
        <v>1</v>
      </c>
    </row>
    <row r="561" spans="10:34">
      <c r="J561" s="4">
        <v>551</v>
      </c>
      <c r="K561" s="21" t="str">
        <f>HYPERLINK("obsidian://open?vault=o2&amp;file=2025-01-13.md","2025-01-13")</f>
        <v>2025-01-13</v>
      </c>
      <c r="L561" s="2" t="s">
        <v>3319</v>
      </c>
      <c r="M561" s="2" t="s">
        <v>3320</v>
      </c>
      <c r="N561" s="4">
        <v>2</v>
      </c>
      <c r="O561" s="2" t="s">
        <v>3622</v>
      </c>
      <c r="P561" s="11" t="s">
        <v>175</v>
      </c>
      <c r="Q561" s="2" t="s">
        <v>3549</v>
      </c>
      <c r="R561" s="11" t="s">
        <v>175</v>
      </c>
      <c r="AH561" s="11">
        <f>SUBTOTAL(3,_xlfn.SINGLE(tbl_code[RowId]))</f>
        <v>1</v>
      </c>
    </row>
    <row r="562" spans="10:34">
      <c r="J562" s="4">
        <v>552</v>
      </c>
      <c r="K562" s="21" t="str">
        <f>HYPERLINK("obsidian://open?vault=o2&amp;file=2025-01-13.md","2025-01-13")</f>
        <v>2025-01-13</v>
      </c>
      <c r="L562" s="2" t="s">
        <v>3455</v>
      </c>
      <c r="M562" s="2" t="s">
        <v>3456</v>
      </c>
      <c r="N562" s="4">
        <v>1</v>
      </c>
      <c r="O562" s="2" t="s">
        <v>3656</v>
      </c>
      <c r="P562" s="11" t="s">
        <v>175</v>
      </c>
      <c r="AH562" s="11">
        <f>SUBTOTAL(3,_xlfn.SINGLE(tbl_code[RowId]))</f>
        <v>1</v>
      </c>
    </row>
    <row r="563" spans="10:34">
      <c r="J563" s="4">
        <v>553</v>
      </c>
      <c r="K563" s="21" t="str">
        <f>HYPERLINK("obsidian://open?vault=o2&amp;file=2025-01-13.md","2025-01-13")</f>
        <v>2025-01-13</v>
      </c>
      <c r="L563" s="2"/>
      <c r="M563" s="2" t="s">
        <v>3569</v>
      </c>
      <c r="N563" s="4">
        <v>1</v>
      </c>
      <c r="O563" s="2" t="s">
        <v>3722</v>
      </c>
      <c r="P563" s="11" t="s">
        <v>175</v>
      </c>
      <c r="AH563" s="11">
        <f>SUBTOTAL(3,_xlfn.SINGLE(tbl_code[RowId]))</f>
        <v>1</v>
      </c>
    </row>
    <row r="564" spans="10:34">
      <c r="J564" s="4">
        <v>554</v>
      </c>
      <c r="K564" s="21" t="str">
        <f>HYPERLINK("obsidian://open?vault=o2&amp;file=2025-01-13.md","2025-01-13")</f>
        <v>2025-01-13</v>
      </c>
      <c r="L564" s="2" t="s">
        <v>3624</v>
      </c>
      <c r="M564" s="2" t="s">
        <v>3625</v>
      </c>
      <c r="N564" s="4">
        <v>3</v>
      </c>
      <c r="O564" s="2" t="s">
        <v>3626</v>
      </c>
      <c r="P564" s="11" t="s">
        <v>175</v>
      </c>
      <c r="Q564" s="2" t="s">
        <v>3627</v>
      </c>
      <c r="R564" s="11" t="s">
        <v>175</v>
      </c>
      <c r="S564" s="2" t="s">
        <v>3628</v>
      </c>
      <c r="T564" s="11" t="s">
        <v>175</v>
      </c>
      <c r="AH564" s="11">
        <f>SUBTOTAL(3,_xlfn.SINGLE(tbl_code[RowId]))</f>
        <v>1</v>
      </c>
    </row>
    <row r="565" spans="10:34">
      <c r="J565" s="4">
        <v>555</v>
      </c>
      <c r="K565" s="21" t="str">
        <f>HYPERLINK("obsidian://open?vault=o2&amp;file=2025-01-14.md","2025-01-14")</f>
        <v>2025-01-14</v>
      </c>
      <c r="L565" s="2" t="s">
        <v>3319</v>
      </c>
      <c r="M565" s="2" t="s">
        <v>3320</v>
      </c>
      <c r="N565" s="4">
        <v>2</v>
      </c>
      <c r="O565" s="2" t="s">
        <v>3622</v>
      </c>
      <c r="P565" s="11" t="s">
        <v>175</v>
      </c>
      <c r="Q565" s="2" t="s">
        <v>3549</v>
      </c>
      <c r="R565" s="11" t="s">
        <v>175</v>
      </c>
      <c r="AH565" s="11">
        <f>SUBTOTAL(3,_xlfn.SINGLE(tbl_code[RowId]))</f>
        <v>1</v>
      </c>
    </row>
    <row r="566" spans="10:34">
      <c r="J566" s="4">
        <v>556</v>
      </c>
      <c r="K566" s="21" t="str">
        <f>HYPERLINK("obsidian://open?vault=o2&amp;file=2025-01-14.md","2025-01-14")</f>
        <v>2025-01-14</v>
      </c>
      <c r="L566" s="2" t="s">
        <v>3455</v>
      </c>
      <c r="M566" s="2" t="s">
        <v>3456</v>
      </c>
      <c r="N566" s="4">
        <v>1</v>
      </c>
      <c r="O566" s="2" t="s">
        <v>3656</v>
      </c>
      <c r="P566" s="11" t="s">
        <v>175</v>
      </c>
      <c r="AH566" s="11">
        <f>SUBTOTAL(3,_xlfn.SINGLE(tbl_code[RowId]))</f>
        <v>1</v>
      </c>
    </row>
    <row r="567" spans="10:34">
      <c r="J567" s="4">
        <v>557</v>
      </c>
      <c r="K567" s="21" t="str">
        <f>HYPERLINK("obsidian://open?vault=o2&amp;file=2025-01-14.md","2025-01-14")</f>
        <v>2025-01-14</v>
      </c>
      <c r="L567" s="2"/>
      <c r="M567" s="2" t="s">
        <v>3569</v>
      </c>
      <c r="N567" s="4">
        <v>1</v>
      </c>
      <c r="O567" s="2" t="s">
        <v>3723</v>
      </c>
      <c r="P567" s="11" t="s">
        <v>175</v>
      </c>
      <c r="AH567" s="11">
        <f>SUBTOTAL(3,_xlfn.SINGLE(tbl_code[RowId]))</f>
        <v>1</v>
      </c>
    </row>
    <row r="568" spans="10:34">
      <c r="J568" s="4">
        <v>558</v>
      </c>
      <c r="K568" s="21" t="str">
        <f>HYPERLINK("obsidian://open?vault=o2&amp;file=2025-01-14.md","2025-01-14")</f>
        <v>2025-01-14</v>
      </c>
      <c r="L568" s="2" t="s">
        <v>3624</v>
      </c>
      <c r="M568" s="2" t="s">
        <v>3625</v>
      </c>
      <c r="N568" s="4">
        <v>3</v>
      </c>
      <c r="O568" s="2" t="s">
        <v>3626</v>
      </c>
      <c r="P568" s="11" t="s">
        <v>175</v>
      </c>
      <c r="Q568" s="2" t="s">
        <v>3627</v>
      </c>
      <c r="R568" s="11" t="s">
        <v>175</v>
      </c>
      <c r="S568" s="2" t="s">
        <v>3628</v>
      </c>
      <c r="T568" s="11" t="s">
        <v>175</v>
      </c>
      <c r="AH568" s="11">
        <f>SUBTOTAL(3,_xlfn.SINGLE(tbl_code[RowId]))</f>
        <v>1</v>
      </c>
    </row>
    <row r="569" spans="10:34">
      <c r="J569" s="4">
        <v>559</v>
      </c>
      <c r="K569" s="21" t="str">
        <f>HYPERLINK("obsidian://open?vault=o2&amp;file=2025-01-15.md","2025-01-15")</f>
        <v>2025-01-15</v>
      </c>
      <c r="L569" s="2" t="s">
        <v>3319</v>
      </c>
      <c r="M569" s="2" t="s">
        <v>3320</v>
      </c>
      <c r="N569" s="4">
        <v>2</v>
      </c>
      <c r="O569" s="2" t="s">
        <v>3622</v>
      </c>
      <c r="P569" s="11" t="s">
        <v>175</v>
      </c>
      <c r="Q569" s="2" t="s">
        <v>3549</v>
      </c>
      <c r="R569" s="11" t="s">
        <v>175</v>
      </c>
      <c r="AH569" s="11">
        <f>SUBTOTAL(3,_xlfn.SINGLE(tbl_code[RowId]))</f>
        <v>1</v>
      </c>
    </row>
    <row r="570" spans="10:34">
      <c r="J570" s="4">
        <v>560</v>
      </c>
      <c r="K570" s="21" t="str">
        <f>HYPERLINK("obsidian://open?vault=o2&amp;file=2025-01-15.md","2025-01-15")</f>
        <v>2025-01-15</v>
      </c>
      <c r="L570" s="2" t="s">
        <v>3455</v>
      </c>
      <c r="M570" s="2" t="s">
        <v>3456</v>
      </c>
      <c r="N570" s="4">
        <v>1</v>
      </c>
      <c r="O570" s="2" t="s">
        <v>3656</v>
      </c>
      <c r="P570" s="11" t="s">
        <v>175</v>
      </c>
      <c r="AH570" s="11">
        <f>SUBTOTAL(3,_xlfn.SINGLE(tbl_code[RowId]))</f>
        <v>1</v>
      </c>
    </row>
    <row r="571" spans="10:34">
      <c r="J571" s="4">
        <v>561</v>
      </c>
      <c r="K571" s="21" t="str">
        <f>HYPERLINK("obsidian://open?vault=o2&amp;file=2025-01-15.md","2025-01-15")</f>
        <v>2025-01-15</v>
      </c>
      <c r="L571" s="2"/>
      <c r="M571" s="2" t="s">
        <v>3569</v>
      </c>
      <c r="N571" s="4">
        <v>1</v>
      </c>
      <c r="O571" s="2" t="s">
        <v>3724</v>
      </c>
      <c r="P571" s="11" t="s">
        <v>175</v>
      </c>
      <c r="AH571" s="11">
        <f>SUBTOTAL(3,_xlfn.SINGLE(tbl_code[RowId]))</f>
        <v>1</v>
      </c>
    </row>
    <row r="572" spans="10:34">
      <c r="J572" s="4">
        <v>562</v>
      </c>
      <c r="K572" s="21" t="str">
        <f>HYPERLINK("obsidian://open?vault=o2&amp;file=2025-01-15.md","2025-01-15")</f>
        <v>2025-01-15</v>
      </c>
      <c r="L572" s="2" t="s">
        <v>3624</v>
      </c>
      <c r="M572" s="2" t="s">
        <v>3625</v>
      </c>
      <c r="N572" s="4">
        <v>3</v>
      </c>
      <c r="O572" s="2" t="s">
        <v>3626</v>
      </c>
      <c r="P572" s="11" t="s">
        <v>175</v>
      </c>
      <c r="Q572" s="2" t="s">
        <v>3627</v>
      </c>
      <c r="R572" s="11" t="s">
        <v>175</v>
      </c>
      <c r="S572" s="2" t="s">
        <v>3628</v>
      </c>
      <c r="T572" s="11" t="s">
        <v>175</v>
      </c>
      <c r="AH572" s="11">
        <f>SUBTOTAL(3,_xlfn.SINGLE(tbl_code[RowId]))</f>
        <v>1</v>
      </c>
    </row>
    <row r="573" spans="10:34">
      <c r="J573" s="4">
        <v>563</v>
      </c>
      <c r="K573" s="21" t="str">
        <f>HYPERLINK("obsidian://open?vault=o2&amp;file=2025-01-16.md","2025-01-16")</f>
        <v>2025-01-16</v>
      </c>
      <c r="L573" s="2" t="s">
        <v>3319</v>
      </c>
      <c r="M573" s="2" t="s">
        <v>3320</v>
      </c>
      <c r="N573" s="4">
        <v>2</v>
      </c>
      <c r="O573" s="2" t="s">
        <v>3622</v>
      </c>
      <c r="P573" s="11" t="s">
        <v>175</v>
      </c>
      <c r="Q573" s="2" t="s">
        <v>3549</v>
      </c>
      <c r="R573" s="11" t="s">
        <v>175</v>
      </c>
      <c r="AH573" s="11">
        <f>SUBTOTAL(3,_xlfn.SINGLE(tbl_code[RowId]))</f>
        <v>1</v>
      </c>
    </row>
    <row r="574" spans="10:34">
      <c r="J574" s="4">
        <v>564</v>
      </c>
      <c r="K574" s="21" t="str">
        <f>HYPERLINK("obsidian://open?vault=o2&amp;file=2025-01-16.md","2025-01-16")</f>
        <v>2025-01-16</v>
      </c>
      <c r="L574" s="2" t="s">
        <v>3455</v>
      </c>
      <c r="M574" s="2" t="s">
        <v>3456</v>
      </c>
      <c r="N574" s="4">
        <v>1</v>
      </c>
      <c r="O574" s="2" t="s">
        <v>3656</v>
      </c>
      <c r="P574" s="11" t="s">
        <v>175</v>
      </c>
      <c r="AH574" s="11">
        <f>SUBTOTAL(3,_xlfn.SINGLE(tbl_code[RowId]))</f>
        <v>1</v>
      </c>
    </row>
    <row r="575" spans="10:34">
      <c r="J575" s="4">
        <v>565</v>
      </c>
      <c r="K575" s="21" t="str">
        <f>HYPERLINK("obsidian://open?vault=o2&amp;file=2025-01-16.md","2025-01-16")</f>
        <v>2025-01-16</v>
      </c>
      <c r="L575" s="2"/>
      <c r="M575" s="2" t="s">
        <v>3569</v>
      </c>
      <c r="N575" s="4">
        <v>1</v>
      </c>
      <c r="O575" s="2" t="s">
        <v>3725</v>
      </c>
      <c r="P575" s="11" t="s">
        <v>175</v>
      </c>
      <c r="AH575" s="11">
        <f>SUBTOTAL(3,_xlfn.SINGLE(tbl_code[RowId]))</f>
        <v>1</v>
      </c>
    </row>
    <row r="576" spans="10:34">
      <c r="J576" s="4">
        <v>566</v>
      </c>
      <c r="K576" s="21" t="str">
        <f>HYPERLINK("obsidian://open?vault=o2&amp;file=2025-01-16.md","2025-01-16")</f>
        <v>2025-01-16</v>
      </c>
      <c r="L576" s="2" t="s">
        <v>3624</v>
      </c>
      <c r="M576" s="2" t="s">
        <v>3625</v>
      </c>
      <c r="N576" s="4">
        <v>3</v>
      </c>
      <c r="O576" s="2" t="s">
        <v>3626</v>
      </c>
      <c r="P576" s="11" t="s">
        <v>175</v>
      </c>
      <c r="Q576" s="2" t="s">
        <v>3627</v>
      </c>
      <c r="R576" s="11" t="s">
        <v>175</v>
      </c>
      <c r="S576" s="2" t="s">
        <v>3628</v>
      </c>
      <c r="T576" s="11" t="s">
        <v>175</v>
      </c>
      <c r="AH576" s="11">
        <f>SUBTOTAL(3,_xlfn.SINGLE(tbl_code[RowId]))</f>
        <v>1</v>
      </c>
    </row>
    <row r="577" spans="10:34">
      <c r="J577" s="4">
        <v>567</v>
      </c>
      <c r="K577" s="21" t="str">
        <f>HYPERLINK("obsidian://open?vault=o2&amp;file=2025-01-19.md","2025-01-19")</f>
        <v>2025-01-19</v>
      </c>
      <c r="L577" s="2" t="s">
        <v>3319</v>
      </c>
      <c r="M577" s="2" t="s">
        <v>3320</v>
      </c>
      <c r="N577" s="4">
        <v>2</v>
      </c>
      <c r="O577" s="2" t="s">
        <v>3622</v>
      </c>
      <c r="P577" s="11" t="s">
        <v>175</v>
      </c>
      <c r="Q577" s="2" t="s">
        <v>3549</v>
      </c>
      <c r="R577" s="11" t="s">
        <v>175</v>
      </c>
      <c r="AH577" s="11">
        <f>SUBTOTAL(3,_xlfn.SINGLE(tbl_code[RowId]))</f>
        <v>1</v>
      </c>
    </row>
    <row r="578" spans="10:34">
      <c r="J578" s="4">
        <v>568</v>
      </c>
      <c r="K578" s="21" t="str">
        <f>HYPERLINK("obsidian://open?vault=o2&amp;file=2025-01-19.md","2025-01-19")</f>
        <v>2025-01-19</v>
      </c>
      <c r="L578" s="2" t="s">
        <v>3455</v>
      </c>
      <c r="M578" s="2" t="s">
        <v>3456</v>
      </c>
      <c r="N578" s="4">
        <v>1</v>
      </c>
      <c r="O578" s="2" t="s">
        <v>3656</v>
      </c>
      <c r="P578" s="11" t="s">
        <v>175</v>
      </c>
      <c r="AH578" s="11">
        <f>SUBTOTAL(3,_xlfn.SINGLE(tbl_code[RowId]))</f>
        <v>1</v>
      </c>
    </row>
    <row r="579" spans="10:34">
      <c r="J579" s="4">
        <v>569</v>
      </c>
      <c r="K579" s="21" t="str">
        <f>HYPERLINK("obsidian://open?vault=o2&amp;file=2025-01-19.md","2025-01-19")</f>
        <v>2025-01-19</v>
      </c>
      <c r="L579" s="2"/>
      <c r="M579" s="2" t="s">
        <v>3569</v>
      </c>
      <c r="N579" s="4">
        <v>1</v>
      </c>
      <c r="O579" s="2" t="s">
        <v>3726</v>
      </c>
      <c r="P579" s="11" t="s">
        <v>175</v>
      </c>
      <c r="AH579" s="11">
        <f>SUBTOTAL(3,_xlfn.SINGLE(tbl_code[RowId]))</f>
        <v>1</v>
      </c>
    </row>
    <row r="580" spans="10:34">
      <c r="J580" s="4">
        <v>570</v>
      </c>
      <c r="K580" s="21" t="str">
        <f>HYPERLINK("obsidian://open?vault=o2&amp;file=2025-01-19.md","2025-01-19")</f>
        <v>2025-01-19</v>
      </c>
      <c r="L580" s="2" t="s">
        <v>3624</v>
      </c>
      <c r="M580" s="2" t="s">
        <v>3625</v>
      </c>
      <c r="N580" s="4">
        <v>3</v>
      </c>
      <c r="O580" s="2" t="s">
        <v>3626</v>
      </c>
      <c r="P580" s="11" t="s">
        <v>175</v>
      </c>
      <c r="Q580" s="2" t="s">
        <v>3627</v>
      </c>
      <c r="R580" s="11" t="s">
        <v>175</v>
      </c>
      <c r="S580" s="2" t="s">
        <v>3628</v>
      </c>
      <c r="T580" s="11" t="s">
        <v>175</v>
      </c>
      <c r="AH580" s="11">
        <f>SUBTOTAL(3,_xlfn.SINGLE(tbl_code[RowId]))</f>
        <v>1</v>
      </c>
    </row>
    <row r="581" spans="10:34">
      <c r="J581" s="4">
        <v>571</v>
      </c>
      <c r="K581" s="21" t="str">
        <f>HYPERLINK("obsidian://open?vault=o2&amp;file=2025-01-20.md","2025-01-20")</f>
        <v>2025-01-20</v>
      </c>
      <c r="L581" s="2" t="s">
        <v>3319</v>
      </c>
      <c r="M581" s="2" t="s">
        <v>3320</v>
      </c>
      <c r="N581" s="4">
        <v>2</v>
      </c>
      <c r="O581" s="2" t="s">
        <v>3622</v>
      </c>
      <c r="P581" s="11" t="s">
        <v>175</v>
      </c>
      <c r="Q581" s="2" t="s">
        <v>3549</v>
      </c>
      <c r="R581" s="11" t="s">
        <v>175</v>
      </c>
      <c r="AH581" s="11">
        <f>SUBTOTAL(3,_xlfn.SINGLE(tbl_code[RowId]))</f>
        <v>1</v>
      </c>
    </row>
    <row r="582" spans="10:34">
      <c r="J582" s="4">
        <v>572</v>
      </c>
      <c r="K582" s="21" t="str">
        <f>HYPERLINK("obsidian://open?vault=o2&amp;file=2025-01-20.md","2025-01-20")</f>
        <v>2025-01-20</v>
      </c>
      <c r="L582" s="2" t="s">
        <v>3455</v>
      </c>
      <c r="M582" s="2" t="s">
        <v>3456</v>
      </c>
      <c r="N582" s="4">
        <v>1</v>
      </c>
      <c r="O582" s="2" t="s">
        <v>3656</v>
      </c>
      <c r="P582" s="11" t="s">
        <v>175</v>
      </c>
      <c r="AH582" s="11">
        <f>SUBTOTAL(3,_xlfn.SINGLE(tbl_code[RowId]))</f>
        <v>1</v>
      </c>
    </row>
    <row r="583" spans="10:34">
      <c r="J583" s="4">
        <v>573</v>
      </c>
      <c r="K583" s="21" t="str">
        <f>HYPERLINK("obsidian://open?vault=o2&amp;file=2025-01-20.md","2025-01-20")</f>
        <v>2025-01-20</v>
      </c>
      <c r="L583" s="2"/>
      <c r="M583" s="2" t="s">
        <v>3569</v>
      </c>
      <c r="N583" s="4">
        <v>1</v>
      </c>
      <c r="O583" s="2" t="s">
        <v>3727</v>
      </c>
      <c r="P583" s="11" t="s">
        <v>175</v>
      </c>
      <c r="AH583" s="11">
        <f>SUBTOTAL(3,_xlfn.SINGLE(tbl_code[RowId]))</f>
        <v>1</v>
      </c>
    </row>
    <row r="584" spans="10:34">
      <c r="J584" s="4">
        <v>574</v>
      </c>
      <c r="K584" s="21" t="str">
        <f>HYPERLINK("obsidian://open?vault=o2&amp;file=2025-01-20.md","2025-01-20")</f>
        <v>2025-01-20</v>
      </c>
      <c r="L584" s="2" t="s">
        <v>3624</v>
      </c>
      <c r="M584" s="2" t="s">
        <v>3625</v>
      </c>
      <c r="N584" s="4">
        <v>3</v>
      </c>
      <c r="O584" s="2" t="s">
        <v>3626</v>
      </c>
      <c r="P584" s="11" t="s">
        <v>175</v>
      </c>
      <c r="Q584" s="2" t="s">
        <v>3627</v>
      </c>
      <c r="R584" s="11" t="s">
        <v>175</v>
      </c>
      <c r="S584" s="2" t="s">
        <v>3628</v>
      </c>
      <c r="T584" s="11" t="s">
        <v>175</v>
      </c>
      <c r="AH584" s="11">
        <f>SUBTOTAL(3,_xlfn.SINGLE(tbl_code[RowId]))</f>
        <v>1</v>
      </c>
    </row>
    <row r="585" spans="10:34">
      <c r="J585" s="4">
        <v>575</v>
      </c>
      <c r="K585" s="21" t="str">
        <f>HYPERLINK("obsidian://open?vault=o2&amp;file=2025-01-21.md","2025-01-21")</f>
        <v>2025-01-21</v>
      </c>
      <c r="L585" s="2" t="s">
        <v>3319</v>
      </c>
      <c r="M585" s="2" t="s">
        <v>3320</v>
      </c>
      <c r="N585" s="4">
        <v>2</v>
      </c>
      <c r="O585" s="2" t="s">
        <v>3622</v>
      </c>
      <c r="P585" s="11" t="s">
        <v>175</v>
      </c>
      <c r="Q585" s="2" t="s">
        <v>3549</v>
      </c>
      <c r="R585" s="11" t="s">
        <v>175</v>
      </c>
      <c r="AH585" s="11">
        <f>SUBTOTAL(3,_xlfn.SINGLE(tbl_code[RowId]))</f>
        <v>1</v>
      </c>
    </row>
    <row r="586" spans="10:34">
      <c r="J586" s="4">
        <v>576</v>
      </c>
      <c r="K586" s="21" t="str">
        <f>HYPERLINK("obsidian://open?vault=o2&amp;file=2025-01-21.md","2025-01-21")</f>
        <v>2025-01-21</v>
      </c>
      <c r="L586" s="2" t="s">
        <v>3455</v>
      </c>
      <c r="M586" s="2" t="s">
        <v>3456</v>
      </c>
      <c r="N586" s="4">
        <v>1</v>
      </c>
      <c r="O586" s="2" t="s">
        <v>3656</v>
      </c>
      <c r="P586" s="11" t="s">
        <v>175</v>
      </c>
      <c r="AH586" s="11">
        <f>SUBTOTAL(3,_xlfn.SINGLE(tbl_code[RowId]))</f>
        <v>1</v>
      </c>
    </row>
    <row r="587" spans="10:34">
      <c r="J587" s="4">
        <v>577</v>
      </c>
      <c r="K587" s="21" t="str">
        <f>HYPERLINK("obsidian://open?vault=o2&amp;file=2025-01-21.md","2025-01-21")</f>
        <v>2025-01-21</v>
      </c>
      <c r="L587" s="2"/>
      <c r="M587" s="2" t="s">
        <v>3569</v>
      </c>
      <c r="N587" s="4">
        <v>1</v>
      </c>
      <c r="O587" s="2" t="s">
        <v>3728</v>
      </c>
      <c r="P587" s="11" t="s">
        <v>175</v>
      </c>
      <c r="AH587" s="11">
        <f>SUBTOTAL(3,_xlfn.SINGLE(tbl_code[RowId]))</f>
        <v>1</v>
      </c>
    </row>
    <row r="588" spans="10:34">
      <c r="J588" s="4">
        <v>578</v>
      </c>
      <c r="K588" s="21" t="str">
        <f>HYPERLINK("obsidian://open?vault=o2&amp;file=2025-01-21.md","2025-01-21")</f>
        <v>2025-01-21</v>
      </c>
      <c r="L588" s="2" t="s">
        <v>3624</v>
      </c>
      <c r="M588" s="2" t="s">
        <v>3625</v>
      </c>
      <c r="N588" s="4">
        <v>3</v>
      </c>
      <c r="O588" s="2" t="s">
        <v>3626</v>
      </c>
      <c r="P588" s="11" t="s">
        <v>175</v>
      </c>
      <c r="Q588" s="2" t="s">
        <v>3627</v>
      </c>
      <c r="R588" s="11" t="s">
        <v>175</v>
      </c>
      <c r="S588" s="2" t="s">
        <v>3628</v>
      </c>
      <c r="T588" s="11" t="s">
        <v>175</v>
      </c>
      <c r="AH588" s="11">
        <f>SUBTOTAL(3,_xlfn.SINGLE(tbl_code[RowId]))</f>
        <v>1</v>
      </c>
    </row>
    <row r="589" spans="10:34">
      <c r="J589" s="4">
        <v>579</v>
      </c>
      <c r="K589" s="21" t="str">
        <f>HYPERLINK("obsidian://open?vault=o2&amp;file=2025-01-22.md","2025-01-22")</f>
        <v>2025-01-22</v>
      </c>
      <c r="L589" s="2" t="s">
        <v>3319</v>
      </c>
      <c r="M589" s="2" t="s">
        <v>3320</v>
      </c>
      <c r="N589" s="4">
        <v>2</v>
      </c>
      <c r="O589" s="2" t="s">
        <v>3622</v>
      </c>
      <c r="P589" s="11" t="s">
        <v>175</v>
      </c>
      <c r="Q589" s="2" t="s">
        <v>3549</v>
      </c>
      <c r="R589" s="11" t="s">
        <v>175</v>
      </c>
      <c r="AH589" s="11">
        <f>SUBTOTAL(3,_xlfn.SINGLE(tbl_code[RowId]))</f>
        <v>1</v>
      </c>
    </row>
    <row r="590" spans="10:34">
      <c r="J590" s="4">
        <v>580</v>
      </c>
      <c r="K590" s="21" t="str">
        <f>HYPERLINK("obsidian://open?vault=o2&amp;file=2025-01-22.md","2025-01-22")</f>
        <v>2025-01-22</v>
      </c>
      <c r="L590" s="2" t="s">
        <v>3455</v>
      </c>
      <c r="M590" s="2" t="s">
        <v>3456</v>
      </c>
      <c r="N590" s="4">
        <v>1</v>
      </c>
      <c r="O590" s="2" t="s">
        <v>3656</v>
      </c>
      <c r="P590" s="11" t="s">
        <v>175</v>
      </c>
      <c r="AH590" s="11">
        <f>SUBTOTAL(3,_xlfn.SINGLE(tbl_code[RowId]))</f>
        <v>1</v>
      </c>
    </row>
    <row r="591" spans="10:34">
      <c r="J591" s="4">
        <v>581</v>
      </c>
      <c r="K591" s="21" t="str">
        <f>HYPERLINK("obsidian://open?vault=o2&amp;file=2025-01-22.md","2025-01-22")</f>
        <v>2025-01-22</v>
      </c>
      <c r="L591" s="2"/>
      <c r="M591" s="2" t="s">
        <v>3569</v>
      </c>
      <c r="N591" s="4">
        <v>1</v>
      </c>
      <c r="O591" s="2" t="s">
        <v>3729</v>
      </c>
      <c r="P591" s="11" t="s">
        <v>175</v>
      </c>
      <c r="AH591" s="11">
        <f>SUBTOTAL(3,_xlfn.SINGLE(tbl_code[RowId]))</f>
        <v>1</v>
      </c>
    </row>
    <row r="592" spans="10:34">
      <c r="J592" s="4">
        <v>582</v>
      </c>
      <c r="K592" s="21" t="str">
        <f>HYPERLINK("obsidian://open?vault=o2&amp;file=2025-01-22.md","2025-01-22")</f>
        <v>2025-01-22</v>
      </c>
      <c r="L592" s="2" t="s">
        <v>3624</v>
      </c>
      <c r="M592" s="2" t="s">
        <v>3625</v>
      </c>
      <c r="N592" s="4">
        <v>3</v>
      </c>
      <c r="O592" s="2" t="s">
        <v>3626</v>
      </c>
      <c r="P592" s="11" t="s">
        <v>175</v>
      </c>
      <c r="Q592" s="2" t="s">
        <v>3627</v>
      </c>
      <c r="R592" s="11" t="s">
        <v>175</v>
      </c>
      <c r="S592" s="2" t="s">
        <v>3628</v>
      </c>
      <c r="T592" s="11" t="s">
        <v>175</v>
      </c>
      <c r="AH592" s="11">
        <f>SUBTOTAL(3,_xlfn.SINGLE(tbl_code[RowId]))</f>
        <v>1</v>
      </c>
    </row>
    <row r="593" spans="10:34">
      <c r="J593" s="4">
        <v>583</v>
      </c>
      <c r="K593" s="21" t="str">
        <f>HYPERLINK("obsidian://open?vault=o2&amp;file=2025-01-23.md","2025-01-23")</f>
        <v>2025-01-23</v>
      </c>
      <c r="L593" s="2" t="s">
        <v>3319</v>
      </c>
      <c r="M593" s="2" t="s">
        <v>3320</v>
      </c>
      <c r="N593" s="4">
        <v>2</v>
      </c>
      <c r="O593" s="2" t="s">
        <v>3622</v>
      </c>
      <c r="P593" s="11" t="s">
        <v>175</v>
      </c>
      <c r="Q593" s="2" t="s">
        <v>3549</v>
      </c>
      <c r="R593" s="11" t="s">
        <v>175</v>
      </c>
      <c r="AH593" s="11">
        <f>SUBTOTAL(3,_xlfn.SINGLE(tbl_code[RowId]))</f>
        <v>1</v>
      </c>
    </row>
    <row r="594" spans="10:34">
      <c r="J594" s="4">
        <v>584</v>
      </c>
      <c r="K594" s="21" t="str">
        <f>HYPERLINK("obsidian://open?vault=o2&amp;file=2025-01-23.md","2025-01-23")</f>
        <v>2025-01-23</v>
      </c>
      <c r="L594" s="2" t="s">
        <v>3455</v>
      </c>
      <c r="M594" s="2" t="s">
        <v>3456</v>
      </c>
      <c r="N594" s="4">
        <v>1</v>
      </c>
      <c r="O594" s="2" t="s">
        <v>3656</v>
      </c>
      <c r="P594" s="11" t="s">
        <v>175</v>
      </c>
      <c r="AH594" s="11">
        <f>SUBTOTAL(3,_xlfn.SINGLE(tbl_code[RowId]))</f>
        <v>1</v>
      </c>
    </row>
    <row r="595" spans="10:34">
      <c r="J595" s="4">
        <v>585</v>
      </c>
      <c r="K595" s="21" t="str">
        <f>HYPERLINK("obsidian://open?vault=o2&amp;file=2025-01-23.md","2025-01-23")</f>
        <v>2025-01-23</v>
      </c>
      <c r="L595" s="2"/>
      <c r="M595" s="2" t="s">
        <v>3569</v>
      </c>
      <c r="N595" s="4">
        <v>1</v>
      </c>
      <c r="O595" s="2" t="s">
        <v>3730</v>
      </c>
      <c r="P595" s="11" t="s">
        <v>175</v>
      </c>
      <c r="AH595" s="11">
        <f>SUBTOTAL(3,_xlfn.SINGLE(tbl_code[RowId]))</f>
        <v>1</v>
      </c>
    </row>
    <row r="596" spans="10:34">
      <c r="J596" s="4">
        <v>586</v>
      </c>
      <c r="K596" s="21" t="str">
        <f>HYPERLINK("obsidian://open?vault=o2&amp;file=2025-01-23.md","2025-01-23")</f>
        <v>2025-01-23</v>
      </c>
      <c r="L596" s="2" t="s">
        <v>3624</v>
      </c>
      <c r="M596" s="2" t="s">
        <v>3625</v>
      </c>
      <c r="N596" s="4">
        <v>3</v>
      </c>
      <c r="O596" s="2" t="s">
        <v>3626</v>
      </c>
      <c r="P596" s="11" t="s">
        <v>175</v>
      </c>
      <c r="Q596" s="2" t="s">
        <v>3627</v>
      </c>
      <c r="R596" s="11" t="s">
        <v>175</v>
      </c>
      <c r="S596" s="2" t="s">
        <v>3628</v>
      </c>
      <c r="T596" s="11" t="s">
        <v>175</v>
      </c>
      <c r="AH596" s="11">
        <f>SUBTOTAL(3,_xlfn.SINGLE(tbl_code[RowId]))</f>
        <v>1</v>
      </c>
    </row>
    <row r="597" spans="10:34">
      <c r="J597" s="4">
        <v>587</v>
      </c>
      <c r="K597" s="21" t="str">
        <f>HYPERLINK("obsidian://open?vault=o2&amp;file=2025-01-26.md","2025-01-26")</f>
        <v>2025-01-26</v>
      </c>
      <c r="L597" s="2" t="s">
        <v>3319</v>
      </c>
      <c r="M597" s="2" t="s">
        <v>3320</v>
      </c>
      <c r="N597" s="4">
        <v>2</v>
      </c>
      <c r="O597" s="2" t="s">
        <v>3622</v>
      </c>
      <c r="P597" s="11" t="s">
        <v>175</v>
      </c>
      <c r="Q597" s="2" t="s">
        <v>3549</v>
      </c>
      <c r="R597" s="11" t="s">
        <v>175</v>
      </c>
      <c r="AH597" s="11">
        <f>SUBTOTAL(3,_xlfn.SINGLE(tbl_code[RowId]))</f>
        <v>1</v>
      </c>
    </row>
    <row r="598" spans="10:34">
      <c r="J598" s="4">
        <v>588</v>
      </c>
      <c r="K598" s="21" t="str">
        <f>HYPERLINK("obsidian://open?vault=o2&amp;file=2025-01-26.md","2025-01-26")</f>
        <v>2025-01-26</v>
      </c>
      <c r="L598" s="2" t="s">
        <v>3455</v>
      </c>
      <c r="M598" s="2" t="s">
        <v>3456</v>
      </c>
      <c r="N598" s="4">
        <v>1</v>
      </c>
      <c r="O598" s="2" t="s">
        <v>3656</v>
      </c>
      <c r="P598" s="11" t="s">
        <v>175</v>
      </c>
      <c r="AH598" s="11">
        <f>SUBTOTAL(3,_xlfn.SINGLE(tbl_code[RowId]))</f>
        <v>1</v>
      </c>
    </row>
    <row r="599" spans="10:34">
      <c r="J599" s="4">
        <v>589</v>
      </c>
      <c r="K599" s="21" t="str">
        <f>HYPERLINK("obsidian://open?vault=o2&amp;file=2025-01-26.md","2025-01-26")</f>
        <v>2025-01-26</v>
      </c>
      <c r="L599" s="2"/>
      <c r="M599" s="2" t="s">
        <v>3569</v>
      </c>
      <c r="N599" s="4">
        <v>1</v>
      </c>
      <c r="O599" s="2" t="s">
        <v>3731</v>
      </c>
      <c r="P599" s="11" t="s">
        <v>175</v>
      </c>
      <c r="AH599" s="11">
        <f>SUBTOTAL(3,_xlfn.SINGLE(tbl_code[RowId]))</f>
        <v>1</v>
      </c>
    </row>
    <row r="600" spans="10:34">
      <c r="J600" s="4">
        <v>590</v>
      </c>
      <c r="K600" s="21" t="str">
        <f>HYPERLINK("obsidian://open?vault=o2&amp;file=2025-01-26.md","2025-01-26")</f>
        <v>2025-01-26</v>
      </c>
      <c r="L600" s="2" t="s">
        <v>3624</v>
      </c>
      <c r="M600" s="2" t="s">
        <v>3625</v>
      </c>
      <c r="N600" s="4">
        <v>3</v>
      </c>
      <c r="O600" s="2" t="s">
        <v>3626</v>
      </c>
      <c r="P600" s="11" t="s">
        <v>175</v>
      </c>
      <c r="Q600" s="2" t="s">
        <v>3627</v>
      </c>
      <c r="R600" s="11" t="s">
        <v>175</v>
      </c>
      <c r="S600" s="2" t="s">
        <v>3628</v>
      </c>
      <c r="T600" s="11" t="s">
        <v>175</v>
      </c>
      <c r="AH600" s="11">
        <f>SUBTOTAL(3,_xlfn.SINGLE(tbl_code[RowId]))</f>
        <v>1</v>
      </c>
    </row>
    <row r="601" spans="10:34">
      <c r="J601" s="4">
        <v>591</v>
      </c>
      <c r="K601" s="21" t="str">
        <f>HYPERLINK("obsidian://open?vault=o2&amp;file=2025-01-27.md","2025-01-27")</f>
        <v>2025-01-27</v>
      </c>
      <c r="L601" s="2" t="s">
        <v>3319</v>
      </c>
      <c r="M601" s="2" t="s">
        <v>3320</v>
      </c>
      <c r="N601" s="4">
        <v>2</v>
      </c>
      <c r="O601" s="2" t="s">
        <v>3622</v>
      </c>
      <c r="P601" s="11" t="s">
        <v>175</v>
      </c>
      <c r="Q601" s="2" t="s">
        <v>3549</v>
      </c>
      <c r="R601" s="11" t="s">
        <v>175</v>
      </c>
      <c r="AH601" s="11">
        <f>SUBTOTAL(3,_xlfn.SINGLE(tbl_code[RowId]))</f>
        <v>1</v>
      </c>
    </row>
    <row r="602" spans="10:34">
      <c r="J602" s="4">
        <v>592</v>
      </c>
      <c r="K602" s="21" t="str">
        <f>HYPERLINK("obsidian://open?vault=o2&amp;file=2025-01-27.md","2025-01-27")</f>
        <v>2025-01-27</v>
      </c>
      <c r="L602" s="2" t="s">
        <v>3455</v>
      </c>
      <c r="M602" s="2" t="s">
        <v>3456</v>
      </c>
      <c r="N602" s="4">
        <v>1</v>
      </c>
      <c r="O602" s="2" t="s">
        <v>3656</v>
      </c>
      <c r="P602" s="11" t="s">
        <v>175</v>
      </c>
      <c r="AH602" s="11">
        <f>SUBTOTAL(3,_xlfn.SINGLE(tbl_code[RowId]))</f>
        <v>1</v>
      </c>
    </row>
    <row r="603" spans="10:34">
      <c r="J603" s="4">
        <v>593</v>
      </c>
      <c r="K603" s="21" t="str">
        <f>HYPERLINK("obsidian://open?vault=o2&amp;file=2025-01-27.md","2025-01-27")</f>
        <v>2025-01-27</v>
      </c>
      <c r="L603" s="2"/>
      <c r="M603" s="2" t="s">
        <v>3569</v>
      </c>
      <c r="N603" s="4">
        <v>1</v>
      </c>
      <c r="O603" s="2" t="s">
        <v>3732</v>
      </c>
      <c r="P603" s="11" t="s">
        <v>175</v>
      </c>
      <c r="AH603" s="11">
        <f>SUBTOTAL(3,_xlfn.SINGLE(tbl_code[RowId]))</f>
        <v>1</v>
      </c>
    </row>
    <row r="604" spans="10:34">
      <c r="J604" s="4">
        <v>594</v>
      </c>
      <c r="K604" s="21" t="str">
        <f>HYPERLINK("obsidian://open?vault=o2&amp;file=2025-01-27.md","2025-01-27")</f>
        <v>2025-01-27</v>
      </c>
      <c r="L604" s="2" t="s">
        <v>3624</v>
      </c>
      <c r="M604" s="2" t="s">
        <v>3625</v>
      </c>
      <c r="N604" s="4">
        <v>3</v>
      </c>
      <c r="O604" s="2" t="s">
        <v>3626</v>
      </c>
      <c r="P604" s="11" t="s">
        <v>175</v>
      </c>
      <c r="Q604" s="2" t="s">
        <v>3627</v>
      </c>
      <c r="R604" s="11" t="s">
        <v>175</v>
      </c>
      <c r="S604" s="2" t="s">
        <v>3628</v>
      </c>
      <c r="T604" s="11" t="s">
        <v>175</v>
      </c>
      <c r="AH604" s="11">
        <f>SUBTOTAL(3,_xlfn.SINGLE(tbl_code[RowId]))</f>
        <v>1</v>
      </c>
    </row>
    <row r="605" spans="10:34">
      <c r="J605" s="4">
        <v>595</v>
      </c>
      <c r="K605" s="21" t="str">
        <f>HYPERLINK("obsidian://open?vault=o2&amp;file=2025-01-28.md","2025-01-28")</f>
        <v>2025-01-28</v>
      </c>
      <c r="L605" s="2" t="s">
        <v>3319</v>
      </c>
      <c r="M605" s="2" t="s">
        <v>3320</v>
      </c>
      <c r="N605" s="4">
        <v>2</v>
      </c>
      <c r="O605" s="2" t="s">
        <v>3622</v>
      </c>
      <c r="P605" s="11" t="s">
        <v>175</v>
      </c>
      <c r="Q605" s="2" t="s">
        <v>3549</v>
      </c>
      <c r="R605" s="11" t="s">
        <v>175</v>
      </c>
      <c r="AH605" s="11">
        <f>SUBTOTAL(3,_xlfn.SINGLE(tbl_code[RowId]))</f>
        <v>1</v>
      </c>
    </row>
    <row r="606" spans="10:34">
      <c r="J606" s="4">
        <v>596</v>
      </c>
      <c r="K606" s="21" t="str">
        <f>HYPERLINK("obsidian://open?vault=o2&amp;file=2025-01-28.md","2025-01-28")</f>
        <v>2025-01-28</v>
      </c>
      <c r="L606" s="2" t="s">
        <v>3455</v>
      </c>
      <c r="M606" s="2" t="s">
        <v>3456</v>
      </c>
      <c r="N606" s="4">
        <v>1</v>
      </c>
      <c r="O606" s="2" t="s">
        <v>3656</v>
      </c>
      <c r="P606" s="11" t="s">
        <v>175</v>
      </c>
      <c r="AH606" s="11">
        <f>SUBTOTAL(3,_xlfn.SINGLE(tbl_code[RowId]))</f>
        <v>1</v>
      </c>
    </row>
    <row r="607" spans="10:34">
      <c r="J607" s="4">
        <v>597</v>
      </c>
      <c r="K607" s="21" t="str">
        <f>HYPERLINK("obsidian://open?vault=o2&amp;file=2025-01-28.md","2025-01-28")</f>
        <v>2025-01-28</v>
      </c>
      <c r="L607" s="2"/>
      <c r="M607" s="2" t="s">
        <v>3569</v>
      </c>
      <c r="N607" s="4">
        <v>1</v>
      </c>
      <c r="O607" s="2" t="s">
        <v>3733</v>
      </c>
      <c r="P607" s="11" t="s">
        <v>175</v>
      </c>
      <c r="AH607" s="11">
        <f>SUBTOTAL(3,_xlfn.SINGLE(tbl_code[RowId]))</f>
        <v>1</v>
      </c>
    </row>
    <row r="608" spans="10:34">
      <c r="J608" s="4">
        <v>598</v>
      </c>
      <c r="K608" s="21" t="str">
        <f>HYPERLINK("obsidian://open?vault=o2&amp;file=2025-01-28.md","2025-01-28")</f>
        <v>2025-01-28</v>
      </c>
      <c r="L608" s="2" t="s">
        <v>3624</v>
      </c>
      <c r="M608" s="2" t="s">
        <v>3625</v>
      </c>
      <c r="N608" s="4">
        <v>3</v>
      </c>
      <c r="O608" s="2" t="s">
        <v>3626</v>
      </c>
      <c r="P608" s="11" t="s">
        <v>175</v>
      </c>
      <c r="Q608" s="2" t="s">
        <v>3627</v>
      </c>
      <c r="R608" s="11" t="s">
        <v>175</v>
      </c>
      <c r="S608" s="2" t="s">
        <v>3628</v>
      </c>
      <c r="T608" s="11" t="s">
        <v>175</v>
      </c>
      <c r="AH608" s="11">
        <f>SUBTOTAL(3,_xlfn.SINGLE(tbl_code[RowId]))</f>
        <v>1</v>
      </c>
    </row>
    <row r="609" spans="10:34">
      <c r="J609" s="4">
        <v>599</v>
      </c>
      <c r="K609" s="21" t="str">
        <f>HYPERLINK("obsidian://open?vault=o2&amp;file=2025-01-29.md","2025-01-29")</f>
        <v>2025-01-29</v>
      </c>
      <c r="L609" s="2" t="s">
        <v>3319</v>
      </c>
      <c r="M609" s="2" t="s">
        <v>3320</v>
      </c>
      <c r="N609" s="4">
        <v>2</v>
      </c>
      <c r="O609" s="2" t="s">
        <v>3622</v>
      </c>
      <c r="P609" s="11" t="s">
        <v>175</v>
      </c>
      <c r="Q609" s="2" t="s">
        <v>3549</v>
      </c>
      <c r="R609" s="11" t="s">
        <v>175</v>
      </c>
      <c r="AH609" s="11">
        <f>SUBTOTAL(3,_xlfn.SINGLE(tbl_code[RowId]))</f>
        <v>1</v>
      </c>
    </row>
    <row r="610" spans="10:34">
      <c r="J610" s="4">
        <v>600</v>
      </c>
      <c r="K610" s="21" t="str">
        <f>HYPERLINK("obsidian://open?vault=o2&amp;file=2025-01-29.md","2025-01-29")</f>
        <v>2025-01-29</v>
      </c>
      <c r="L610" s="2" t="s">
        <v>3455</v>
      </c>
      <c r="M610" s="2" t="s">
        <v>3456</v>
      </c>
      <c r="N610" s="4">
        <v>1</v>
      </c>
      <c r="O610" s="2" t="s">
        <v>3734</v>
      </c>
      <c r="P610" s="11" t="s">
        <v>175</v>
      </c>
      <c r="AH610" s="11">
        <f>SUBTOTAL(3,_xlfn.SINGLE(tbl_code[RowId]))</f>
        <v>1</v>
      </c>
    </row>
    <row r="611" spans="10:34">
      <c r="J611" s="4">
        <v>601</v>
      </c>
      <c r="K611" s="21" t="str">
        <f>HYPERLINK("obsidian://open?vault=o2&amp;file=2025-01-29.md","2025-01-29")</f>
        <v>2025-01-29</v>
      </c>
      <c r="L611" s="2"/>
      <c r="M611" s="2" t="s">
        <v>3569</v>
      </c>
      <c r="N611" s="4">
        <v>1</v>
      </c>
      <c r="O611" s="2" t="s">
        <v>3735</v>
      </c>
      <c r="P611" s="11" t="s">
        <v>175</v>
      </c>
      <c r="AH611" s="11">
        <f>SUBTOTAL(3,_xlfn.SINGLE(tbl_code[RowId]))</f>
        <v>1</v>
      </c>
    </row>
    <row r="612" spans="10:34">
      <c r="J612" s="4">
        <v>602</v>
      </c>
      <c r="K612" s="21" t="str">
        <f>HYPERLINK("obsidian://open?vault=o2&amp;file=2025-01-29.md","2025-01-29")</f>
        <v>2025-01-29</v>
      </c>
      <c r="L612" s="2" t="s">
        <v>3624</v>
      </c>
      <c r="M612" s="2" t="s">
        <v>3625</v>
      </c>
      <c r="N612" s="4">
        <v>3</v>
      </c>
      <c r="O612" s="2" t="s">
        <v>3626</v>
      </c>
      <c r="P612" s="11" t="s">
        <v>175</v>
      </c>
      <c r="Q612" s="2" t="s">
        <v>3627</v>
      </c>
      <c r="R612" s="11" t="s">
        <v>175</v>
      </c>
      <c r="S612" s="2" t="s">
        <v>3628</v>
      </c>
      <c r="T612" s="11" t="s">
        <v>175</v>
      </c>
      <c r="AH612" s="11">
        <f>SUBTOTAL(3,_xlfn.SINGLE(tbl_code[RowId]))</f>
        <v>1</v>
      </c>
    </row>
    <row r="613" spans="10:34">
      <c r="J613" s="4">
        <v>603</v>
      </c>
      <c r="K613" s="21" t="str">
        <f>HYPERLINK("obsidian://open?vault=o2&amp;file=2025-01-31.md","2025-01-31")</f>
        <v>2025-01-31</v>
      </c>
      <c r="L613" s="2" t="s">
        <v>3319</v>
      </c>
      <c r="M613" s="2" t="s">
        <v>3320</v>
      </c>
      <c r="N613" s="4">
        <v>2</v>
      </c>
      <c r="O613" s="2" t="s">
        <v>3622</v>
      </c>
      <c r="P613" s="11" t="s">
        <v>175</v>
      </c>
      <c r="Q613" s="2" t="s">
        <v>3549</v>
      </c>
      <c r="R613" s="11" t="s">
        <v>175</v>
      </c>
      <c r="AH613" s="11">
        <f>SUBTOTAL(3,_xlfn.SINGLE(tbl_code[RowId]))</f>
        <v>1</v>
      </c>
    </row>
    <row r="614" spans="10:34">
      <c r="J614" s="4">
        <v>604</v>
      </c>
      <c r="K614" s="21" t="str">
        <f>HYPERLINK("obsidian://open?vault=o2&amp;file=2025-01-31.md","2025-01-31")</f>
        <v>2025-01-31</v>
      </c>
      <c r="L614" s="2" t="s">
        <v>3455</v>
      </c>
      <c r="M614" s="2" t="s">
        <v>3456</v>
      </c>
      <c r="N614" s="4">
        <v>1</v>
      </c>
      <c r="O614" s="2" t="s">
        <v>3656</v>
      </c>
      <c r="P614" s="11" t="s">
        <v>175</v>
      </c>
      <c r="AH614" s="11">
        <f>SUBTOTAL(3,_xlfn.SINGLE(tbl_code[RowId]))</f>
        <v>1</v>
      </c>
    </row>
    <row r="615" spans="10:34">
      <c r="J615" s="4">
        <v>605</v>
      </c>
      <c r="K615" s="21" t="str">
        <f>HYPERLINK("obsidian://open?vault=o2&amp;file=2025-01-31.md","2025-01-31")</f>
        <v>2025-01-31</v>
      </c>
      <c r="L615" s="2"/>
      <c r="M615" s="2" t="s">
        <v>3569</v>
      </c>
      <c r="N615" s="4">
        <v>1</v>
      </c>
      <c r="O615" s="2" t="s">
        <v>3736</v>
      </c>
      <c r="P615" s="11" t="s">
        <v>175</v>
      </c>
      <c r="AH615" s="11">
        <f>SUBTOTAL(3,_xlfn.SINGLE(tbl_code[RowId]))</f>
        <v>1</v>
      </c>
    </row>
    <row r="616" spans="10:34">
      <c r="J616" s="4">
        <v>606</v>
      </c>
      <c r="K616" s="21" t="str">
        <f>HYPERLINK("obsidian://open?vault=o2&amp;file=2025-01-31.md","2025-01-31")</f>
        <v>2025-01-31</v>
      </c>
      <c r="L616" s="2" t="s">
        <v>3624</v>
      </c>
      <c r="M616" s="2" t="s">
        <v>3625</v>
      </c>
      <c r="N616" s="4">
        <v>3</v>
      </c>
      <c r="O616" s="2" t="s">
        <v>3626</v>
      </c>
      <c r="P616" s="11" t="s">
        <v>175</v>
      </c>
      <c r="Q616" s="2" t="s">
        <v>3627</v>
      </c>
      <c r="R616" s="11" t="s">
        <v>175</v>
      </c>
      <c r="S616" s="2" t="s">
        <v>3628</v>
      </c>
      <c r="T616" s="11" t="s">
        <v>175</v>
      </c>
      <c r="AH616" s="11">
        <f>SUBTOTAL(3,_xlfn.SINGLE(tbl_code[RowId]))</f>
        <v>1</v>
      </c>
    </row>
    <row r="617" spans="10:34">
      <c r="J617" s="4">
        <v>607</v>
      </c>
      <c r="K617" s="21" t="str">
        <f>HYPERLINK("obsidian://open?vault=o2&amp;file=2025-02-04.md","2025-02-04")</f>
        <v>2025-02-04</v>
      </c>
      <c r="L617" s="2" t="s">
        <v>3319</v>
      </c>
      <c r="M617" s="2" t="s">
        <v>3320</v>
      </c>
      <c r="N617" s="4">
        <v>2</v>
      </c>
      <c r="O617" s="2" t="s">
        <v>3622</v>
      </c>
      <c r="P617" s="11" t="s">
        <v>175</v>
      </c>
      <c r="Q617" s="2" t="s">
        <v>3549</v>
      </c>
      <c r="R617" s="11" t="s">
        <v>175</v>
      </c>
      <c r="AH617" s="11">
        <f>SUBTOTAL(3,_xlfn.SINGLE(tbl_code[RowId]))</f>
        <v>1</v>
      </c>
    </row>
    <row r="618" spans="10:34">
      <c r="J618" s="4">
        <v>608</v>
      </c>
      <c r="K618" s="21" t="str">
        <f>HYPERLINK("obsidian://open?vault=o2&amp;file=2025-02-04.md","2025-02-04")</f>
        <v>2025-02-04</v>
      </c>
      <c r="L618" s="2"/>
      <c r="M618" s="2" t="s">
        <v>3569</v>
      </c>
      <c r="N618" s="4">
        <v>1</v>
      </c>
      <c r="O618" s="2" t="s">
        <v>3737</v>
      </c>
      <c r="P618" s="11" t="s">
        <v>175</v>
      </c>
      <c r="AH618" s="11">
        <f>SUBTOTAL(3,_xlfn.SINGLE(tbl_code[RowId]))</f>
        <v>1</v>
      </c>
    </row>
    <row r="619" spans="10:34">
      <c r="J619" s="4">
        <v>609</v>
      </c>
      <c r="K619" s="21" t="str">
        <f>HYPERLINK("obsidian://open?vault=o2&amp;file=2025-02-04.md","2025-02-04")</f>
        <v>2025-02-04</v>
      </c>
      <c r="L619" s="2" t="s">
        <v>3624</v>
      </c>
      <c r="M619" s="2" t="s">
        <v>3625</v>
      </c>
      <c r="N619" s="4">
        <v>3</v>
      </c>
      <c r="O619" s="2" t="s">
        <v>3626</v>
      </c>
      <c r="P619" s="11" t="s">
        <v>175</v>
      </c>
      <c r="Q619" s="2" t="s">
        <v>3627</v>
      </c>
      <c r="R619" s="11" t="s">
        <v>175</v>
      </c>
      <c r="S619" s="2" t="s">
        <v>3628</v>
      </c>
      <c r="T619" s="11" t="s">
        <v>175</v>
      </c>
      <c r="AH619" s="11">
        <f>SUBTOTAL(3,_xlfn.SINGLE(tbl_code[RowId]))</f>
        <v>1</v>
      </c>
    </row>
    <row r="620" spans="10:34">
      <c r="J620" s="4">
        <v>610</v>
      </c>
      <c r="K620" s="21" t="str">
        <f>HYPERLINK("obsidian://open?vault=o2&amp;file=2025-02-05.md","2025-02-05")</f>
        <v>2025-02-05</v>
      </c>
      <c r="L620" s="2" t="s">
        <v>3319</v>
      </c>
      <c r="M620" s="2" t="s">
        <v>3320</v>
      </c>
      <c r="N620" s="4">
        <v>2</v>
      </c>
      <c r="O620" s="2" t="s">
        <v>3622</v>
      </c>
      <c r="P620" s="11" t="s">
        <v>175</v>
      </c>
      <c r="Q620" s="2" t="s">
        <v>3549</v>
      </c>
      <c r="R620" s="11" t="s">
        <v>175</v>
      </c>
      <c r="AH620" s="11">
        <f>SUBTOTAL(3,_xlfn.SINGLE(tbl_code[RowId]))</f>
        <v>1</v>
      </c>
    </row>
    <row r="621" spans="10:34">
      <c r="J621" s="4">
        <v>611</v>
      </c>
      <c r="K621" s="21" t="str">
        <f>HYPERLINK("obsidian://open?vault=o2&amp;file=2025-02-05.md","2025-02-05")</f>
        <v>2025-02-05</v>
      </c>
      <c r="L621" s="2" t="s">
        <v>3455</v>
      </c>
      <c r="M621" s="2" t="s">
        <v>3456</v>
      </c>
      <c r="N621" s="4">
        <v>1</v>
      </c>
      <c r="O621" s="2" t="s">
        <v>3656</v>
      </c>
      <c r="P621" s="11" t="s">
        <v>175</v>
      </c>
      <c r="AH621" s="11">
        <f>SUBTOTAL(3,_xlfn.SINGLE(tbl_code[RowId]))</f>
        <v>1</v>
      </c>
    </row>
    <row r="622" spans="10:34">
      <c r="J622" s="4">
        <v>612</v>
      </c>
      <c r="K622" s="21" t="str">
        <f>HYPERLINK("obsidian://open?vault=o2&amp;file=2025-02-05.md","2025-02-05")</f>
        <v>2025-02-05</v>
      </c>
      <c r="L622" s="2"/>
      <c r="M622" s="2" t="s">
        <v>3569</v>
      </c>
      <c r="N622" s="4">
        <v>1</v>
      </c>
      <c r="O622" s="2" t="s">
        <v>3738</v>
      </c>
      <c r="P622" s="11" t="s">
        <v>175</v>
      </c>
      <c r="AH622" s="11">
        <f>SUBTOTAL(3,_xlfn.SINGLE(tbl_code[RowId]))</f>
        <v>1</v>
      </c>
    </row>
    <row r="623" spans="10:34">
      <c r="J623" s="4">
        <v>613</v>
      </c>
      <c r="K623" s="21" t="str">
        <f>HYPERLINK("obsidian://open?vault=o2&amp;file=2025-02-05.md","2025-02-05")</f>
        <v>2025-02-05</v>
      </c>
      <c r="L623" s="2" t="s">
        <v>3624</v>
      </c>
      <c r="M623" s="2" t="s">
        <v>3625</v>
      </c>
      <c r="N623" s="4">
        <v>3</v>
      </c>
      <c r="O623" s="2" t="s">
        <v>3626</v>
      </c>
      <c r="P623" s="11" t="s">
        <v>175</v>
      </c>
      <c r="Q623" s="2" t="s">
        <v>3627</v>
      </c>
      <c r="R623" s="11" t="s">
        <v>175</v>
      </c>
      <c r="S623" s="2" t="s">
        <v>3628</v>
      </c>
      <c r="T623" s="11" t="s">
        <v>175</v>
      </c>
      <c r="AH623" s="11">
        <f>SUBTOTAL(3,_xlfn.SINGLE(tbl_code[RowId]))</f>
        <v>1</v>
      </c>
    </row>
    <row r="624" spans="10:34">
      <c r="J624" s="4">
        <v>614</v>
      </c>
      <c r="K624" s="21" t="str">
        <f>HYPERLINK("obsidian://open?vault=o2&amp;file=2025-02-06.md","2025-02-06")</f>
        <v>2025-02-06</v>
      </c>
      <c r="L624" s="2" t="s">
        <v>3455</v>
      </c>
      <c r="M624" s="2" t="s">
        <v>3456</v>
      </c>
      <c r="N624" s="4">
        <v>1</v>
      </c>
      <c r="O624" s="2" t="s">
        <v>3739</v>
      </c>
      <c r="P624" s="11" t="s">
        <v>175</v>
      </c>
      <c r="AH624" s="11">
        <f>SUBTOTAL(3,_xlfn.SINGLE(tbl_code[RowId]))</f>
        <v>1</v>
      </c>
    </row>
    <row r="625" spans="10:34">
      <c r="J625" s="4">
        <v>615</v>
      </c>
      <c r="K625" s="21" t="str">
        <f>HYPERLINK("obsidian://open?vault=o2&amp;file=2025-02-07.md","2025-02-07")</f>
        <v>2025-02-07</v>
      </c>
      <c r="L625" s="2" t="s">
        <v>3455</v>
      </c>
      <c r="M625" s="2" t="s">
        <v>3456</v>
      </c>
      <c r="N625" s="4">
        <v>1</v>
      </c>
      <c r="O625" s="2" t="s">
        <v>3739</v>
      </c>
      <c r="P625" s="11" t="s">
        <v>175</v>
      </c>
      <c r="AH625" s="11">
        <f>SUBTOTAL(3,_xlfn.SINGLE(tbl_code[RowId]))</f>
        <v>1</v>
      </c>
    </row>
    <row r="626" spans="10:34">
      <c r="J626" s="4">
        <v>616</v>
      </c>
      <c r="K626" s="21" t="str">
        <f>HYPERLINK("obsidian://open?vault=o2&amp;file=2025-02-08.md","2025-02-08")</f>
        <v>2025-02-08</v>
      </c>
      <c r="L626" s="2" t="s">
        <v>3455</v>
      </c>
      <c r="M626" s="2" t="s">
        <v>3456</v>
      </c>
      <c r="N626" s="4">
        <v>1</v>
      </c>
      <c r="O626" s="2" t="s">
        <v>3739</v>
      </c>
      <c r="P626" s="11" t="s">
        <v>175</v>
      </c>
      <c r="AH626" s="11">
        <f>SUBTOTAL(3,_xlfn.SINGLE(tbl_code[RowId]))</f>
        <v>1</v>
      </c>
    </row>
    <row r="627" spans="10:34">
      <c r="J627" s="4">
        <v>617</v>
      </c>
      <c r="K627" s="21" t="str">
        <f>HYPERLINK("obsidian://open?vault=o2&amp;file=2025-02-09.md","2025-02-09")</f>
        <v>2025-02-09</v>
      </c>
      <c r="L627" s="2" t="s">
        <v>3455</v>
      </c>
      <c r="M627" s="2" t="s">
        <v>3456</v>
      </c>
      <c r="N627" s="4">
        <v>1</v>
      </c>
      <c r="O627" s="2" t="s">
        <v>3739</v>
      </c>
      <c r="P627" s="11" t="s">
        <v>175</v>
      </c>
      <c r="AH627" s="11">
        <f>SUBTOTAL(3,_xlfn.SINGLE(tbl_code[RowId]))</f>
        <v>1</v>
      </c>
    </row>
    <row r="628" spans="10:34">
      <c r="J628" s="4">
        <v>618</v>
      </c>
      <c r="K628" s="21" t="str">
        <f>HYPERLINK("obsidian://open?vault=o2&amp;file=2025-02-11.md","2025-02-11")</f>
        <v>2025-02-11</v>
      </c>
      <c r="L628" s="2" t="s">
        <v>3455</v>
      </c>
      <c r="M628" s="2" t="s">
        <v>3456</v>
      </c>
      <c r="N628" s="4">
        <v>1</v>
      </c>
      <c r="O628" s="2" t="s">
        <v>3740</v>
      </c>
      <c r="P628" s="11" t="s">
        <v>175</v>
      </c>
      <c r="AH628" s="11">
        <f>SUBTOTAL(3,_xlfn.SINGLE(tbl_code[RowId]))</f>
        <v>1</v>
      </c>
    </row>
    <row r="629" spans="10:34">
      <c r="J629" s="4">
        <v>619</v>
      </c>
      <c r="K629" s="21" t="str">
        <f>HYPERLINK("obsidian://open?vault=o2&amp;file=2025-02-13.md","2025-02-13")</f>
        <v>2025-02-13</v>
      </c>
      <c r="L629" s="2" t="s">
        <v>3455</v>
      </c>
      <c r="M629" s="2" t="s">
        <v>3456</v>
      </c>
      <c r="N629" s="4">
        <v>1</v>
      </c>
      <c r="O629" s="2" t="s">
        <v>3740</v>
      </c>
      <c r="P629" s="11" t="s">
        <v>175</v>
      </c>
      <c r="AH629" s="11">
        <f>SUBTOTAL(3,_xlfn.SINGLE(tbl_code[RowId]))</f>
        <v>1</v>
      </c>
    </row>
    <row r="630" spans="10:34">
      <c r="J630" s="4">
        <v>620</v>
      </c>
      <c r="K630" s="21" t="str">
        <f>HYPERLINK("obsidian://open?vault=o2&amp;file=2025-02-14.md","2025-02-14")</f>
        <v>2025-02-14</v>
      </c>
      <c r="L630" s="2" t="s">
        <v>3455</v>
      </c>
      <c r="M630" s="2" t="s">
        <v>3456</v>
      </c>
      <c r="N630" s="4">
        <v>1</v>
      </c>
      <c r="O630" s="2" t="s">
        <v>3457</v>
      </c>
      <c r="P630" s="11" t="s">
        <v>175</v>
      </c>
      <c r="AH630" s="11">
        <f>SUBTOTAL(3,_xlfn.SINGLE(tbl_code[RowId]))</f>
        <v>1</v>
      </c>
    </row>
    <row r="631" spans="10:34">
      <c r="J631" s="4">
        <v>621</v>
      </c>
      <c r="K631" s="21" t="str">
        <f>HYPERLINK("obsidian://open?vault=o2&amp;file=2025-02-15.md","2025-02-15")</f>
        <v>2025-02-15</v>
      </c>
      <c r="L631" s="2" t="s">
        <v>3455</v>
      </c>
      <c r="M631" s="2" t="s">
        <v>3456</v>
      </c>
      <c r="N631" s="4">
        <v>1</v>
      </c>
      <c r="O631" s="2" t="s">
        <v>3457</v>
      </c>
      <c r="P631" s="11" t="s">
        <v>175</v>
      </c>
      <c r="AH631" s="11">
        <f>SUBTOTAL(3,_xlfn.SINGLE(tbl_code[RowId]))</f>
        <v>1</v>
      </c>
    </row>
    <row r="632" spans="10:34">
      <c r="J632" s="4">
        <v>622</v>
      </c>
      <c r="K632" s="21" t="str">
        <f>HYPERLINK("obsidian://open?vault=o2&amp;file=2025-02-16.md","2025-02-16")</f>
        <v>2025-02-16</v>
      </c>
      <c r="L632" s="2" t="s">
        <v>3455</v>
      </c>
      <c r="M632" s="2" t="s">
        <v>3456</v>
      </c>
      <c r="N632" s="4">
        <v>1</v>
      </c>
      <c r="O632" s="2" t="s">
        <v>3457</v>
      </c>
      <c r="P632" s="11" t="s">
        <v>175</v>
      </c>
      <c r="AH632" s="11">
        <f>SUBTOTAL(3,_xlfn.SINGLE(tbl_code[RowId]))</f>
        <v>1</v>
      </c>
    </row>
    <row r="633" spans="10:34">
      <c r="J633" s="4">
        <v>623</v>
      </c>
      <c r="K633" s="21" t="str">
        <f>HYPERLINK("obsidian://open?vault=o2&amp;file=2025-02-17.md","2025-02-17")</f>
        <v>2025-02-17</v>
      </c>
      <c r="L633" s="2" t="s">
        <v>3455</v>
      </c>
      <c r="M633" s="2" t="s">
        <v>3456</v>
      </c>
      <c r="N633" s="4">
        <v>1</v>
      </c>
      <c r="O633" s="2" t="s">
        <v>3457</v>
      </c>
      <c r="P633" s="11" t="s">
        <v>175</v>
      </c>
      <c r="AH633" s="11">
        <f>SUBTOTAL(3,_xlfn.SINGLE(tbl_code[RowId]))</f>
        <v>1</v>
      </c>
    </row>
    <row r="634" spans="10:34">
      <c r="J634" s="4">
        <v>624</v>
      </c>
      <c r="K634" s="21" t="str">
        <f>HYPERLINK("obsidian://open?vault=o2&amp;file=2025-02-18.md","2025-02-18")</f>
        <v>2025-02-18</v>
      </c>
      <c r="L634" s="2" t="s">
        <v>3455</v>
      </c>
      <c r="M634" s="2" t="s">
        <v>3456</v>
      </c>
      <c r="N634" s="4">
        <v>1</v>
      </c>
      <c r="O634" s="2" t="s">
        <v>3457</v>
      </c>
      <c r="P634" s="11" t="s">
        <v>175</v>
      </c>
      <c r="AH634" s="11">
        <f>SUBTOTAL(3,_xlfn.SINGLE(tbl_code[RowId]))</f>
        <v>1</v>
      </c>
    </row>
    <row r="635" spans="10:34">
      <c r="J635" s="4">
        <v>625</v>
      </c>
      <c r="K635" s="21" t="str">
        <f>HYPERLINK("obsidian://open?vault=o2&amp;file=2025-02-19.md","2025-02-19")</f>
        <v>2025-02-19</v>
      </c>
      <c r="L635" s="2" t="s">
        <v>3455</v>
      </c>
      <c r="M635" s="2" t="s">
        <v>3456</v>
      </c>
      <c r="N635" s="4">
        <v>1</v>
      </c>
      <c r="O635" s="2" t="s">
        <v>3457</v>
      </c>
      <c r="P635" s="11" t="s">
        <v>175</v>
      </c>
      <c r="AH635" s="11">
        <f>SUBTOTAL(3,_xlfn.SINGLE(tbl_code[RowId]))</f>
        <v>1</v>
      </c>
    </row>
    <row r="636" spans="10:34">
      <c r="J636" s="4">
        <v>626</v>
      </c>
      <c r="K636" s="21" t="str">
        <f>HYPERLINK("obsidian://open?vault=o2&amp;file=2025-02-20.md","2025-02-20")</f>
        <v>2025-02-20</v>
      </c>
      <c r="L636" s="2" t="s">
        <v>3455</v>
      </c>
      <c r="M636" s="2" t="s">
        <v>3456</v>
      </c>
      <c r="N636" s="4">
        <v>1</v>
      </c>
      <c r="O636" s="2" t="s">
        <v>3457</v>
      </c>
      <c r="P636" s="11" t="s">
        <v>175</v>
      </c>
      <c r="AH636" s="11">
        <f>SUBTOTAL(3,_xlfn.SINGLE(tbl_code[RowId]))</f>
        <v>1</v>
      </c>
    </row>
    <row r="637" spans="10:34">
      <c r="J637" s="4">
        <v>627</v>
      </c>
      <c r="K637" s="21" t="str">
        <f>HYPERLINK("obsidian://open?vault=o2&amp;file=2025-02-22.md","2025-02-22")</f>
        <v>2025-02-22</v>
      </c>
      <c r="L637" s="2" t="s">
        <v>3455</v>
      </c>
      <c r="M637" s="2" t="s">
        <v>3456</v>
      </c>
      <c r="N637" s="4">
        <v>1</v>
      </c>
      <c r="O637" s="2" t="s">
        <v>3457</v>
      </c>
      <c r="P637" s="11" t="s">
        <v>175</v>
      </c>
      <c r="AH637" s="11">
        <f>SUBTOTAL(3,_xlfn.SINGLE(tbl_code[RowId]))</f>
        <v>1</v>
      </c>
    </row>
    <row r="638" spans="10:34">
      <c r="J638" s="4">
        <v>628</v>
      </c>
      <c r="K638" s="21" t="str">
        <f>HYPERLINK("obsidian://open?vault=o2&amp;file=2025-02-23.md","2025-02-23")</f>
        <v>2025-02-23</v>
      </c>
      <c r="L638" s="2" t="s">
        <v>3455</v>
      </c>
      <c r="M638" s="2" t="s">
        <v>3456</v>
      </c>
      <c r="N638" s="4">
        <v>1</v>
      </c>
      <c r="O638" s="2" t="s">
        <v>3457</v>
      </c>
      <c r="P638" s="11" t="s">
        <v>175</v>
      </c>
      <c r="AH638" s="11">
        <f>SUBTOTAL(3,_xlfn.SINGLE(tbl_code[RowId]))</f>
        <v>1</v>
      </c>
    </row>
    <row r="639" spans="10:34">
      <c r="J639" s="4">
        <v>629</v>
      </c>
      <c r="K639" s="21" t="str">
        <f>HYPERLINK("obsidian://open?vault=o2&amp;file=2025-02-24.md","2025-02-24")</f>
        <v>2025-02-24</v>
      </c>
      <c r="L639" s="2" t="s">
        <v>3455</v>
      </c>
      <c r="M639" s="2" t="s">
        <v>3456</v>
      </c>
      <c r="N639" s="4">
        <v>1</v>
      </c>
      <c r="O639" s="2" t="s">
        <v>3457</v>
      </c>
      <c r="P639" s="11" t="s">
        <v>175</v>
      </c>
      <c r="AH639" s="11">
        <f>SUBTOTAL(3,_xlfn.SINGLE(tbl_code[RowId]))</f>
        <v>1</v>
      </c>
    </row>
    <row r="640" spans="10:34">
      <c r="J640" s="4">
        <v>630</v>
      </c>
      <c r="K640" s="21" t="str">
        <f>HYPERLINK("obsidian://open?vault=o2&amp;file=2025-02-25.md","2025-02-25")</f>
        <v>2025-02-25</v>
      </c>
      <c r="L640" s="2" t="s">
        <v>3455</v>
      </c>
      <c r="M640" s="2" t="s">
        <v>3456</v>
      </c>
      <c r="N640" s="4">
        <v>1</v>
      </c>
      <c r="O640" s="2" t="s">
        <v>3457</v>
      </c>
      <c r="P640" s="11" t="s">
        <v>175</v>
      </c>
      <c r="AH640" s="11">
        <f>SUBTOTAL(3,_xlfn.SINGLE(tbl_code[RowId]))</f>
        <v>1</v>
      </c>
    </row>
    <row r="641" spans="10:34">
      <c r="J641" s="4">
        <v>631</v>
      </c>
      <c r="K641" s="21" t="str">
        <f>HYPERLINK("obsidian://open?vault=o2&amp;file=2025-02-26.md","2025-02-26")</f>
        <v>2025-02-26</v>
      </c>
      <c r="L641" s="2" t="s">
        <v>3455</v>
      </c>
      <c r="M641" s="2" t="s">
        <v>3456</v>
      </c>
      <c r="N641" s="4">
        <v>1</v>
      </c>
      <c r="O641" s="2" t="s">
        <v>3457</v>
      </c>
      <c r="P641" s="11" t="s">
        <v>175</v>
      </c>
      <c r="AH641" s="11">
        <f>SUBTOTAL(3,_xlfn.SINGLE(tbl_code[RowId]))</f>
        <v>1</v>
      </c>
    </row>
    <row r="642" spans="10:34">
      <c r="J642" s="4">
        <v>632</v>
      </c>
      <c r="K642" s="21" t="str">
        <f>HYPERLINK("obsidian://open?vault=o2&amp;file=2025-02-27.md","2025-02-27")</f>
        <v>2025-02-27</v>
      </c>
      <c r="L642" s="2" t="s">
        <v>3455</v>
      </c>
      <c r="M642" s="2" t="s">
        <v>3456</v>
      </c>
      <c r="N642" s="4">
        <v>1</v>
      </c>
      <c r="O642" s="2" t="s">
        <v>3457</v>
      </c>
      <c r="P642" s="11" t="s">
        <v>175</v>
      </c>
      <c r="AH642" s="11">
        <f>SUBTOTAL(3,_xlfn.SINGLE(tbl_code[RowId]))</f>
        <v>1</v>
      </c>
    </row>
    <row r="643" spans="10:34">
      <c r="J643" s="4">
        <v>633</v>
      </c>
      <c r="K643" s="21" t="str">
        <f>HYPERLINK("obsidian://open?vault=o2&amp;file=2025-03-01.md","2025-03-01")</f>
        <v>2025-03-01</v>
      </c>
      <c r="L643" s="2" t="s">
        <v>3455</v>
      </c>
      <c r="M643" s="2" t="s">
        <v>3456</v>
      </c>
      <c r="N643" s="4">
        <v>1</v>
      </c>
      <c r="O643" s="2" t="s">
        <v>3457</v>
      </c>
      <c r="P643" s="11" t="s">
        <v>175</v>
      </c>
      <c r="AH643" s="11">
        <f>SUBTOTAL(3,_xlfn.SINGLE(tbl_code[RowId]))</f>
        <v>1</v>
      </c>
    </row>
    <row r="644" spans="10:34">
      <c r="J644" s="4">
        <v>634</v>
      </c>
      <c r="K644" s="21" t="str">
        <f>HYPERLINK("obsidian://open?vault=o2&amp;file=2025-03-02.md","2025-03-02")</f>
        <v>2025-03-02</v>
      </c>
      <c r="L644" s="2" t="s">
        <v>3455</v>
      </c>
      <c r="M644" s="2" t="s">
        <v>3456</v>
      </c>
      <c r="N644" s="4">
        <v>1</v>
      </c>
      <c r="O644" s="2" t="s">
        <v>3457</v>
      </c>
      <c r="P644" s="11" t="s">
        <v>175</v>
      </c>
      <c r="AH644" s="11">
        <f>SUBTOTAL(3,_xlfn.SINGLE(tbl_code[RowId]))</f>
        <v>1</v>
      </c>
    </row>
    <row r="645" spans="10:34">
      <c r="J645" s="4">
        <v>635</v>
      </c>
      <c r="K645" s="21" t="str">
        <f>HYPERLINK("obsidian://open?vault=o2&amp;file=2025-03-03.md","2025-03-03")</f>
        <v>2025-03-03</v>
      </c>
      <c r="L645" s="2" t="s">
        <v>3455</v>
      </c>
      <c r="M645" s="2" t="s">
        <v>3456</v>
      </c>
      <c r="N645" s="4">
        <v>1</v>
      </c>
      <c r="O645" s="2" t="s">
        <v>3457</v>
      </c>
      <c r="P645" s="11" t="s">
        <v>175</v>
      </c>
      <c r="AH645" s="11">
        <f>SUBTOTAL(3,_xlfn.SINGLE(tbl_code[RowId]))</f>
        <v>1</v>
      </c>
    </row>
    <row r="646" spans="10:34">
      <c r="J646" s="4">
        <v>636</v>
      </c>
      <c r="K646" s="21" t="str">
        <f>HYPERLINK("obsidian://open?vault=o2&amp;file=2025-03-04.md","2025-03-04")</f>
        <v>2025-03-04</v>
      </c>
      <c r="L646" s="2" t="s">
        <v>3455</v>
      </c>
      <c r="M646" s="2" t="s">
        <v>3456</v>
      </c>
      <c r="N646" s="4">
        <v>1</v>
      </c>
      <c r="O646" s="2" t="s">
        <v>3457</v>
      </c>
      <c r="P646" s="11" t="s">
        <v>175</v>
      </c>
      <c r="AH646" s="11">
        <f>SUBTOTAL(3,_xlfn.SINGLE(tbl_code[RowId]))</f>
        <v>1</v>
      </c>
    </row>
    <row r="647" spans="10:34">
      <c r="J647" s="4">
        <v>637</v>
      </c>
      <c r="K647" s="21" t="str">
        <f>HYPERLINK("obsidian://open?vault=o2&amp;file=2025-03-05.md","2025-03-05")</f>
        <v>2025-03-05</v>
      </c>
      <c r="L647" s="2" t="s">
        <v>3455</v>
      </c>
      <c r="M647" s="2" t="s">
        <v>3456</v>
      </c>
      <c r="N647" s="4">
        <v>1</v>
      </c>
      <c r="O647" s="2" t="s">
        <v>3457</v>
      </c>
      <c r="P647" s="11" t="s">
        <v>175</v>
      </c>
      <c r="AH647" s="11">
        <f>SUBTOTAL(3,_xlfn.SINGLE(tbl_code[RowId]))</f>
        <v>1</v>
      </c>
    </row>
    <row r="648" spans="10:34">
      <c r="J648" s="4">
        <v>638</v>
      </c>
      <c r="K648" s="21" t="str">
        <f>HYPERLINK("obsidian://open?vault=o2&amp;file=2025-03-08.md","2025-03-08")</f>
        <v>2025-03-08</v>
      </c>
      <c r="L648" s="2" t="s">
        <v>3455</v>
      </c>
      <c r="M648" s="2" t="s">
        <v>3456</v>
      </c>
      <c r="N648" s="4">
        <v>1</v>
      </c>
      <c r="O648" s="2" t="s">
        <v>3457</v>
      </c>
      <c r="P648" s="11" t="s">
        <v>175</v>
      </c>
      <c r="AH648" s="11">
        <f>SUBTOTAL(3,_xlfn.SINGLE(tbl_code[RowId]))</f>
        <v>1</v>
      </c>
    </row>
    <row r="649" spans="10:34">
      <c r="J649" s="4">
        <v>639</v>
      </c>
      <c r="K649" s="21" t="str">
        <f>HYPERLINK("obsidian://open?vault=o2&amp;file=2025-03-09.md","2025-03-09")</f>
        <v>2025-03-09</v>
      </c>
      <c r="L649" s="2" t="s">
        <v>3455</v>
      </c>
      <c r="M649" s="2" t="s">
        <v>3456</v>
      </c>
      <c r="N649" s="4">
        <v>1</v>
      </c>
      <c r="O649" s="2" t="s">
        <v>3457</v>
      </c>
      <c r="P649" s="11" t="s">
        <v>175</v>
      </c>
      <c r="AH649" s="11">
        <f>SUBTOTAL(3,_xlfn.SINGLE(tbl_code[RowId]))</f>
        <v>1</v>
      </c>
    </row>
    <row r="650" spans="10:34">
      <c r="J650" s="4">
        <v>640</v>
      </c>
      <c r="K650" s="21" t="str">
        <f>HYPERLINK("obsidian://open?vault=o2&amp;file=2025-03-10.md","2025-03-10")</f>
        <v>2025-03-10</v>
      </c>
      <c r="L650" s="2" t="s">
        <v>3455</v>
      </c>
      <c r="M650" s="2" t="s">
        <v>3456</v>
      </c>
      <c r="N650" s="4">
        <v>1</v>
      </c>
      <c r="O650" s="2" t="s">
        <v>3457</v>
      </c>
      <c r="P650" s="11" t="s">
        <v>175</v>
      </c>
      <c r="AH650" s="11">
        <f>SUBTOTAL(3,_xlfn.SINGLE(tbl_code[RowId]))</f>
        <v>1</v>
      </c>
    </row>
    <row r="651" spans="10:34">
      <c r="J651" s="4">
        <v>641</v>
      </c>
      <c r="K651" s="21" t="str">
        <f>HYPERLINK("obsidian://open?vault=o2&amp;file=2025-03-11.md","2025-03-11")</f>
        <v>2025-03-11</v>
      </c>
      <c r="L651" s="2" t="s">
        <v>3455</v>
      </c>
      <c r="M651" s="2" t="s">
        <v>3456</v>
      </c>
      <c r="N651" s="4">
        <v>1</v>
      </c>
      <c r="O651" s="2" t="s">
        <v>3457</v>
      </c>
      <c r="P651" s="11" t="s">
        <v>175</v>
      </c>
      <c r="AH651" s="11">
        <f>SUBTOTAL(3,_xlfn.SINGLE(tbl_code[RowId]))</f>
        <v>1</v>
      </c>
    </row>
    <row r="652" spans="10:34">
      <c r="J652" s="4">
        <v>642</v>
      </c>
      <c r="K652" s="21" t="str">
        <f>HYPERLINK("obsidian://open?vault=o2&amp;file=2025-03-12.md","2025-03-12")</f>
        <v>2025-03-12</v>
      </c>
      <c r="L652" s="2" t="s">
        <v>3455</v>
      </c>
      <c r="M652" s="2" t="s">
        <v>3456</v>
      </c>
      <c r="N652" s="4">
        <v>1</v>
      </c>
      <c r="O652" s="2" t="s">
        <v>3457</v>
      </c>
      <c r="P652" s="11" t="s">
        <v>175</v>
      </c>
      <c r="AH652" s="11">
        <f>SUBTOTAL(3,_xlfn.SINGLE(tbl_code[RowId]))</f>
        <v>1</v>
      </c>
    </row>
    <row r="653" spans="10:34">
      <c r="J653" s="4">
        <v>643</v>
      </c>
      <c r="K653" s="21" t="str">
        <f>HYPERLINK("obsidian://open?vault=o2&amp;file=2025-03-13.md","2025-03-13")</f>
        <v>2025-03-13</v>
      </c>
      <c r="L653" s="2" t="s">
        <v>3455</v>
      </c>
      <c r="M653" s="2" t="s">
        <v>3456</v>
      </c>
      <c r="N653" s="4">
        <v>1</v>
      </c>
      <c r="O653" s="2" t="s">
        <v>3457</v>
      </c>
      <c r="P653" s="11" t="s">
        <v>175</v>
      </c>
      <c r="AH653" s="11">
        <f>SUBTOTAL(3,_xlfn.SINGLE(tbl_code[RowId]))</f>
        <v>1</v>
      </c>
    </row>
    <row r="654" spans="10:34">
      <c r="J654" s="4">
        <v>644</v>
      </c>
      <c r="K654" s="21" t="str">
        <f>HYPERLINK("obsidian://open?vault=o2&amp;file=2025-03-14.md","2025-03-14")</f>
        <v>2025-03-14</v>
      </c>
      <c r="L654" s="2"/>
      <c r="M654" s="2" t="s">
        <v>3294</v>
      </c>
      <c r="N654" s="4">
        <v>1</v>
      </c>
      <c r="O654" s="2" t="s">
        <v>3741</v>
      </c>
      <c r="P654" s="11" t="s">
        <v>175</v>
      </c>
      <c r="AH654" s="11">
        <f>SUBTOTAL(3,_xlfn.SINGLE(tbl_code[RowId]))</f>
        <v>1</v>
      </c>
    </row>
    <row r="655" spans="10:34">
      <c r="J655" s="4">
        <v>645</v>
      </c>
      <c r="K655" s="21" t="str">
        <f>HYPERLINK("obsidian://open?vault=o2&amp;file=2025-03-14.md","2025-03-14")</f>
        <v>2025-03-14</v>
      </c>
      <c r="L655" s="2" t="s">
        <v>3455</v>
      </c>
      <c r="M655" s="2" t="s">
        <v>3456</v>
      </c>
      <c r="N655" s="4">
        <v>1</v>
      </c>
      <c r="O655" s="2" t="s">
        <v>3457</v>
      </c>
      <c r="P655" s="11" t="s">
        <v>175</v>
      </c>
      <c r="AH655" s="11">
        <f>SUBTOTAL(3,_xlfn.SINGLE(tbl_code[RowId]))</f>
        <v>1</v>
      </c>
    </row>
    <row r="656" spans="10:34">
      <c r="J656" s="4">
        <v>646</v>
      </c>
      <c r="K656" s="21" t="str">
        <f>HYPERLINK("obsidian://open?vault=o2&amp;file=2025-03-15.md","2025-03-15")</f>
        <v>2025-03-15</v>
      </c>
      <c r="L656" s="2" t="s">
        <v>3455</v>
      </c>
      <c r="M656" s="2" t="s">
        <v>3456</v>
      </c>
      <c r="N656" s="4">
        <v>1</v>
      </c>
      <c r="O656" s="2" t="s">
        <v>3457</v>
      </c>
      <c r="P656" s="11" t="s">
        <v>175</v>
      </c>
      <c r="AH656" s="11">
        <f>SUBTOTAL(3,_xlfn.SINGLE(tbl_code[RowId]))</f>
        <v>1</v>
      </c>
    </row>
    <row r="657" spans="10:34">
      <c r="J657" s="4">
        <v>647</v>
      </c>
      <c r="K657" s="21" t="str">
        <f>HYPERLINK("obsidian://open?vault=o2&amp;file=2025-03-17.md","2025-03-17")</f>
        <v>2025-03-17</v>
      </c>
      <c r="L657" s="2" t="s">
        <v>3455</v>
      </c>
      <c r="M657" s="2" t="s">
        <v>3456</v>
      </c>
      <c r="N657" s="4">
        <v>1</v>
      </c>
      <c r="O657" s="2" t="s">
        <v>3457</v>
      </c>
      <c r="P657" s="11" t="s">
        <v>175</v>
      </c>
      <c r="AH657" s="11">
        <f>SUBTOTAL(3,_xlfn.SINGLE(tbl_code[RowId]))</f>
        <v>1</v>
      </c>
    </row>
    <row r="658" spans="10:34">
      <c r="J658" s="4">
        <v>648</v>
      </c>
      <c r="K658" s="21" t="str">
        <f>HYPERLINK("obsidian://open?vault=o2&amp;file=2025-03-19.md","2025-03-19")</f>
        <v>2025-03-19</v>
      </c>
      <c r="L658" s="2" t="s">
        <v>3455</v>
      </c>
      <c r="M658" s="2" t="s">
        <v>3456</v>
      </c>
      <c r="N658" s="4">
        <v>1</v>
      </c>
      <c r="O658" s="2" t="s">
        <v>3457</v>
      </c>
      <c r="P658" s="11" t="s">
        <v>175</v>
      </c>
      <c r="AH658" s="11">
        <f>SUBTOTAL(3,_xlfn.SINGLE(tbl_code[RowId]))</f>
        <v>1</v>
      </c>
    </row>
    <row r="659" spans="10:34">
      <c r="J659" s="4">
        <v>649</v>
      </c>
      <c r="K659" s="21" t="str">
        <f>HYPERLINK("obsidian://open?vault=o2&amp;file=2025-03-20.md","2025-03-20")</f>
        <v>2025-03-20</v>
      </c>
      <c r="L659" s="2" t="s">
        <v>3455</v>
      </c>
      <c r="M659" s="2" t="s">
        <v>3456</v>
      </c>
      <c r="N659" s="4">
        <v>1</v>
      </c>
      <c r="O659" s="2" t="s">
        <v>3457</v>
      </c>
      <c r="P659" s="11" t="s">
        <v>175</v>
      </c>
      <c r="AH659" s="11">
        <f>SUBTOTAL(3,_xlfn.SINGLE(tbl_code[RowId]))</f>
        <v>1</v>
      </c>
    </row>
    <row r="660" spans="10:34">
      <c r="J660" s="4">
        <v>650</v>
      </c>
      <c r="K660" s="21" t="str">
        <f>HYPERLINK("obsidian://open?vault=o2&amp;file=2025-03-21.md","2025-03-21")</f>
        <v>2025-03-21</v>
      </c>
      <c r="L660" s="2" t="s">
        <v>3455</v>
      </c>
      <c r="M660" s="2" t="s">
        <v>3456</v>
      </c>
      <c r="N660" s="4">
        <v>1</v>
      </c>
      <c r="O660" s="2" t="s">
        <v>3457</v>
      </c>
      <c r="P660" s="11" t="s">
        <v>175</v>
      </c>
      <c r="AH660" s="11">
        <f>SUBTOTAL(3,_xlfn.SINGLE(tbl_code[RowId]))</f>
        <v>1</v>
      </c>
    </row>
    <row r="661" spans="10:34">
      <c r="J661" s="4">
        <v>651</v>
      </c>
      <c r="K661" s="21" t="str">
        <f>HYPERLINK("obsidian://open?vault=o2&amp;file=2025-03-22.md","2025-03-22")</f>
        <v>2025-03-22</v>
      </c>
      <c r="L661" s="2" t="s">
        <v>3455</v>
      </c>
      <c r="M661" s="2" t="s">
        <v>3456</v>
      </c>
      <c r="N661" s="4">
        <v>1</v>
      </c>
      <c r="O661" s="2" t="s">
        <v>3457</v>
      </c>
      <c r="P661" s="11" t="s">
        <v>175</v>
      </c>
      <c r="AH661" s="11">
        <f>SUBTOTAL(3,_xlfn.SINGLE(tbl_code[RowId]))</f>
        <v>1</v>
      </c>
    </row>
    <row r="662" spans="10:34">
      <c r="J662" s="4">
        <v>652</v>
      </c>
      <c r="K662" s="21" t="str">
        <f>HYPERLINK("obsidian://open?vault=o2&amp;file=2025-03-25.md","2025-03-25")</f>
        <v>2025-03-25</v>
      </c>
      <c r="L662" s="2" t="s">
        <v>3455</v>
      </c>
      <c r="M662" s="2" t="s">
        <v>3456</v>
      </c>
      <c r="N662" s="4">
        <v>1</v>
      </c>
      <c r="O662" s="2" t="s">
        <v>3457</v>
      </c>
      <c r="P662" s="11" t="s">
        <v>175</v>
      </c>
      <c r="AH662" s="11">
        <f>SUBTOTAL(3,_xlfn.SINGLE(tbl_code[RowId]))</f>
        <v>1</v>
      </c>
    </row>
    <row r="663" spans="10:34">
      <c r="J663" s="4">
        <v>653</v>
      </c>
      <c r="K663" s="21" t="str">
        <f>HYPERLINK("obsidian://open?vault=o2&amp;file=2025-03-27.md","2025-03-27")</f>
        <v>2025-03-27</v>
      </c>
      <c r="L663" s="2" t="s">
        <v>3455</v>
      </c>
      <c r="M663" s="2" t="s">
        <v>3456</v>
      </c>
      <c r="N663" s="4">
        <v>1</v>
      </c>
      <c r="O663" s="2" t="s">
        <v>3457</v>
      </c>
      <c r="P663" s="11" t="s">
        <v>175</v>
      </c>
      <c r="AH663" s="11">
        <f>SUBTOTAL(3,_xlfn.SINGLE(tbl_code[RowId]))</f>
        <v>1</v>
      </c>
    </row>
    <row r="664" spans="10:34">
      <c r="J664" s="4">
        <v>654</v>
      </c>
      <c r="K664" s="21" t="str">
        <f>HYPERLINK("obsidian://open?vault=o2&amp;file=2025-03-28.md","2025-03-28")</f>
        <v>2025-03-28</v>
      </c>
      <c r="L664" s="2" t="s">
        <v>3455</v>
      </c>
      <c r="M664" s="2" t="s">
        <v>3456</v>
      </c>
      <c r="N664" s="4">
        <v>1</v>
      </c>
      <c r="O664" s="2" t="s">
        <v>3457</v>
      </c>
      <c r="P664" s="11" t="s">
        <v>175</v>
      </c>
      <c r="AH664" s="11">
        <f>SUBTOTAL(3,_xlfn.SINGLE(tbl_code[RowId]))</f>
        <v>1</v>
      </c>
    </row>
    <row r="665" spans="10:34">
      <c r="J665" s="4">
        <v>655</v>
      </c>
      <c r="K665" s="21" t="str">
        <f>HYPERLINK("obsidian://open?vault=o2&amp;file=2025-03-29.md","2025-03-29")</f>
        <v>2025-03-29</v>
      </c>
      <c r="L665" s="2" t="s">
        <v>3455</v>
      </c>
      <c r="M665" s="2" t="s">
        <v>3456</v>
      </c>
      <c r="N665" s="4">
        <v>1</v>
      </c>
      <c r="O665" s="2" t="s">
        <v>3457</v>
      </c>
      <c r="P665" s="11" t="s">
        <v>175</v>
      </c>
      <c r="AH665" s="11">
        <f>SUBTOTAL(3,_xlfn.SINGLE(tbl_code[RowId]))</f>
        <v>1</v>
      </c>
    </row>
    <row r="666" spans="10:34">
      <c r="J666" s="4">
        <v>656</v>
      </c>
      <c r="K666" s="21" t="str">
        <f>HYPERLINK("obsidian://open?vault=o2&amp;file=2025-03-30.md","2025-03-30")</f>
        <v>2025-03-30</v>
      </c>
      <c r="L666" s="2" t="s">
        <v>3455</v>
      </c>
      <c r="M666" s="2" t="s">
        <v>3456</v>
      </c>
      <c r="N666" s="4">
        <v>1</v>
      </c>
      <c r="O666" s="2" t="s">
        <v>3457</v>
      </c>
      <c r="P666" s="11" t="s">
        <v>175</v>
      </c>
      <c r="AH666" s="11">
        <f>SUBTOTAL(3,_xlfn.SINGLE(tbl_code[RowId]))</f>
        <v>1</v>
      </c>
    </row>
    <row r="667" spans="10:34">
      <c r="J667" s="4">
        <v>657</v>
      </c>
      <c r="K667" s="21" t="str">
        <f>HYPERLINK("obsidian://open?vault=o2&amp;file=2025-03-31.md","2025-03-31")</f>
        <v>2025-03-31</v>
      </c>
      <c r="L667" s="2" t="s">
        <v>3455</v>
      </c>
      <c r="M667" s="2" t="s">
        <v>3456</v>
      </c>
      <c r="N667" s="4">
        <v>1</v>
      </c>
      <c r="O667" s="2" t="s">
        <v>3457</v>
      </c>
      <c r="P667" s="11" t="s">
        <v>175</v>
      </c>
      <c r="AH667" s="11">
        <f>SUBTOTAL(3,_xlfn.SINGLE(tbl_code[RowId]))</f>
        <v>1</v>
      </c>
    </row>
    <row r="668" spans="10:34">
      <c r="J668" s="4">
        <v>658</v>
      </c>
      <c r="K668" s="21" t="str">
        <f>HYPERLINK("obsidian://open?vault=o2&amp;file=2025-04-07.md","2025-04-07")</f>
        <v>2025-04-07</v>
      </c>
      <c r="L668" s="2" t="s">
        <v>3455</v>
      </c>
      <c r="M668" s="2" t="s">
        <v>3456</v>
      </c>
      <c r="N668" s="4">
        <v>1</v>
      </c>
      <c r="O668" s="2" t="s">
        <v>3457</v>
      </c>
      <c r="P668" s="11" t="s">
        <v>175</v>
      </c>
      <c r="AH668" s="11">
        <f>SUBTOTAL(3,_xlfn.SINGLE(tbl_code[RowId]))</f>
        <v>1</v>
      </c>
    </row>
    <row r="669" spans="10:34">
      <c r="J669" s="4">
        <v>659</v>
      </c>
      <c r="K669" s="21" t="str">
        <f>HYPERLINK("obsidian://open?vault=o2&amp;file=2025-04-08.md","2025-04-08")</f>
        <v>2025-04-08</v>
      </c>
      <c r="L669" s="2" t="s">
        <v>3455</v>
      </c>
      <c r="M669" s="2" t="s">
        <v>3456</v>
      </c>
      <c r="N669" s="4">
        <v>1</v>
      </c>
      <c r="O669" s="2" t="s">
        <v>3457</v>
      </c>
      <c r="P669" s="11" t="s">
        <v>175</v>
      </c>
      <c r="AH669" s="11">
        <f>SUBTOTAL(3,_xlfn.SINGLE(tbl_code[RowId]))</f>
        <v>1</v>
      </c>
    </row>
    <row r="670" spans="10:34">
      <c r="J670" s="4">
        <v>660</v>
      </c>
      <c r="K670" s="21" t="str">
        <f>HYPERLINK("obsidian://open?vault=o2&amp;file=2025-04-10.md","2025-04-10")</f>
        <v>2025-04-10</v>
      </c>
      <c r="L670" s="2" t="s">
        <v>3455</v>
      </c>
      <c r="M670" s="2" t="s">
        <v>3456</v>
      </c>
      <c r="N670" s="4">
        <v>1</v>
      </c>
      <c r="O670" s="2" t="s">
        <v>3457</v>
      </c>
      <c r="P670" s="11" t="s">
        <v>175</v>
      </c>
      <c r="AH670" s="11">
        <f>SUBTOTAL(3,_xlfn.SINGLE(tbl_code[RowId]))</f>
        <v>1</v>
      </c>
    </row>
    <row r="671" spans="10:34">
      <c r="J671" s="4">
        <v>661</v>
      </c>
      <c r="K671" s="21" t="str">
        <f>HYPERLINK("obsidian://open?vault=o2&amp;file=2025-04-13.md","2025-04-13")</f>
        <v>2025-04-13</v>
      </c>
      <c r="L671" s="2" t="s">
        <v>3455</v>
      </c>
      <c r="M671" s="2" t="s">
        <v>3456</v>
      </c>
      <c r="N671" s="4">
        <v>1</v>
      </c>
      <c r="O671" s="2" t="s">
        <v>3457</v>
      </c>
      <c r="P671" s="11" t="s">
        <v>175</v>
      </c>
      <c r="AH671" s="11">
        <f>SUBTOTAL(3,_xlfn.SINGLE(tbl_code[RowId]))</f>
        <v>1</v>
      </c>
    </row>
    <row r="672" spans="10:34">
      <c r="J672" s="4">
        <v>662</v>
      </c>
      <c r="K672" s="21" t="str">
        <f>HYPERLINK("obsidian://open?vault=o2&amp;file=2025-04-14.md","2025-04-14")</f>
        <v>2025-04-14</v>
      </c>
      <c r="L672" s="2" t="s">
        <v>3455</v>
      </c>
      <c r="M672" s="2" t="s">
        <v>3456</v>
      </c>
      <c r="N672" s="4">
        <v>1</v>
      </c>
      <c r="O672" s="2" t="s">
        <v>3457</v>
      </c>
      <c r="P672" s="11" t="s">
        <v>175</v>
      </c>
      <c r="AH672" s="11">
        <f>SUBTOTAL(3,_xlfn.SINGLE(tbl_code[RowId]))</f>
        <v>1</v>
      </c>
    </row>
    <row r="673" spans="10:34">
      <c r="J673" s="4">
        <v>663</v>
      </c>
      <c r="K673" s="21" t="str">
        <f>HYPERLINK("obsidian://open?vault=o2&amp;file=2025-04-17.md","2025-04-17")</f>
        <v>2025-04-17</v>
      </c>
      <c r="L673" s="2" t="s">
        <v>3455</v>
      </c>
      <c r="M673" s="2" t="s">
        <v>3456</v>
      </c>
      <c r="N673" s="4">
        <v>1</v>
      </c>
      <c r="O673" s="2" t="s">
        <v>3457</v>
      </c>
      <c r="P673" s="11" t="s">
        <v>175</v>
      </c>
      <c r="AH673" s="11">
        <f>SUBTOTAL(3,_xlfn.SINGLE(tbl_code[RowId]))</f>
        <v>1</v>
      </c>
    </row>
    <row r="674" spans="10:34">
      <c r="J674" s="4">
        <v>664</v>
      </c>
      <c r="K674" s="21" t="str">
        <f>HYPERLINK("obsidian://open?vault=o2&amp;file=someDailyNote.md","someDailyNote")</f>
        <v>someDailyNote</v>
      </c>
      <c r="L674" s="2" t="s">
        <v>3319</v>
      </c>
      <c r="M674" s="2" t="s">
        <v>3320</v>
      </c>
      <c r="N674" s="4">
        <v>1</v>
      </c>
      <c r="O674" s="2" t="s">
        <v>3742</v>
      </c>
      <c r="P674" s="11" t="s">
        <v>175</v>
      </c>
      <c r="AH674" s="11">
        <f>SUBTOTAL(3,_xlfn.SINGLE(tbl_code[RowId]))</f>
        <v>1</v>
      </c>
    </row>
    <row r="675" spans="10:34">
      <c r="J675" s="4">
        <v>665</v>
      </c>
      <c r="K675" s="21" t="str">
        <f>HYPERLINK("obsidian://open?vault=o2&amp;file=someDailyNote.md","someDailyNote")</f>
        <v>someDailyNote</v>
      </c>
      <c r="L675" s="2"/>
      <c r="M675" s="2" t="s">
        <v>3569</v>
      </c>
      <c r="N675" s="4">
        <v>1</v>
      </c>
      <c r="O675" s="2" t="s">
        <v>3743</v>
      </c>
      <c r="P675" s="11" t="s">
        <v>175</v>
      </c>
      <c r="AH675" s="11">
        <f>SUBTOTAL(3,_xlfn.SINGLE(tbl_code[RowId]))</f>
        <v>1</v>
      </c>
    </row>
    <row r="676" spans="10:34">
      <c r="J676" s="4">
        <v>666</v>
      </c>
      <c r="K676" s="21" t="str">
        <f>HYPERLINK("obsidian://open?vault=o2&amp;file=2022-M07.md","2022-M07")</f>
        <v>2022-M07</v>
      </c>
      <c r="L676" s="2"/>
      <c r="M676" s="2" t="s">
        <v>3744</v>
      </c>
      <c r="N676" s="4">
        <v>3</v>
      </c>
      <c r="O676" s="2" t="s">
        <v>3745</v>
      </c>
      <c r="P676" s="11" t="s">
        <v>175</v>
      </c>
      <c r="Q676" s="2" t="s">
        <v>3746</v>
      </c>
      <c r="R676" s="11" t="s">
        <v>175</v>
      </c>
      <c r="S676" s="2" t="s">
        <v>3747</v>
      </c>
      <c r="T676" s="11" t="s">
        <v>175</v>
      </c>
      <c r="AH676" s="11">
        <f>SUBTOTAL(3,_xlfn.SINGLE(tbl_code[RowId]))</f>
        <v>1</v>
      </c>
    </row>
    <row r="677" spans="10:34">
      <c r="J677" s="4">
        <v>667</v>
      </c>
      <c r="K677" s="21" t="str">
        <f>HYPERLINK("obsidian://open?vault=o2&amp;file=2022-M07.md","2022-M07")</f>
        <v>2022-M07</v>
      </c>
      <c r="L677" s="2" t="s">
        <v>3319</v>
      </c>
      <c r="M677" s="2" t="s">
        <v>3320</v>
      </c>
      <c r="N677" s="4">
        <v>2</v>
      </c>
      <c r="O677" s="2" t="s">
        <v>3748</v>
      </c>
      <c r="P677" s="11" t="s">
        <v>175</v>
      </c>
      <c r="Q677" s="2" t="s">
        <v>3749</v>
      </c>
      <c r="R677" s="11" t="s">
        <v>175</v>
      </c>
      <c r="AH677" s="11">
        <f>SUBTOTAL(3,_xlfn.SINGLE(tbl_code[RowId]))</f>
        <v>1</v>
      </c>
    </row>
    <row r="678" spans="10:34">
      <c r="J678" s="4">
        <v>668</v>
      </c>
      <c r="K678" s="21" t="str">
        <f>HYPERLINK("obsidian://open?vault=o2&amp;file=2022-M07.md","2022-M07")</f>
        <v>2022-M07</v>
      </c>
      <c r="L678" s="2" t="s">
        <v>3750</v>
      </c>
      <c r="M678" s="2" t="s">
        <v>3751</v>
      </c>
      <c r="N678" s="4">
        <v>1</v>
      </c>
      <c r="O678" s="2" t="s">
        <v>3752</v>
      </c>
      <c r="P678" s="11" t="s">
        <v>175</v>
      </c>
      <c r="AH678" s="11">
        <f>SUBTOTAL(3,_xlfn.SINGLE(tbl_code[RowId]))</f>
        <v>1</v>
      </c>
    </row>
    <row r="679" spans="10:34">
      <c r="J679" s="4">
        <v>669</v>
      </c>
      <c r="K679" s="21" t="str">
        <f>HYPERLINK("obsidian://open?vault=o2&amp;file=2022-Q3.md","2022-Q3")</f>
        <v>2022-Q3</v>
      </c>
      <c r="L679" s="2" t="s">
        <v>3319</v>
      </c>
      <c r="M679" s="2" t="s">
        <v>3320</v>
      </c>
      <c r="N679" s="4">
        <v>2</v>
      </c>
      <c r="O679" s="2" t="s">
        <v>3753</v>
      </c>
      <c r="P679" s="11" t="s">
        <v>175</v>
      </c>
      <c r="Q679" s="2" t="s">
        <v>3754</v>
      </c>
      <c r="R679" s="11" t="s">
        <v>175</v>
      </c>
      <c r="AH679" s="11">
        <f>SUBTOTAL(3,_xlfn.SINGLE(tbl_code[RowId]))</f>
        <v>1</v>
      </c>
    </row>
    <row r="680" spans="10:34">
      <c r="J680" s="4">
        <v>670</v>
      </c>
      <c r="K680" s="21" t="str">
        <f>HYPERLINK("obsidian://open?vault=o2&amp;file=2024-Q4.md","2024-Q4")</f>
        <v>2024-Q4</v>
      </c>
      <c r="L680" s="2" t="s">
        <v>3319</v>
      </c>
      <c r="M680" s="2" t="s">
        <v>3320</v>
      </c>
      <c r="N680" s="4">
        <v>2</v>
      </c>
      <c r="O680" s="2" t="s">
        <v>3755</v>
      </c>
      <c r="P680" s="11" t="s">
        <v>175</v>
      </c>
      <c r="Q680" s="2" t="s">
        <v>3756</v>
      </c>
      <c r="R680" s="11" t="s">
        <v>175</v>
      </c>
      <c r="AH680" s="11">
        <f>SUBTOTAL(3,_xlfn.SINGLE(tbl_code[RowId]))</f>
        <v>1</v>
      </c>
    </row>
    <row r="681" spans="10:34">
      <c r="J681" s="4">
        <v>671</v>
      </c>
      <c r="K681" s="21" t="str">
        <f>HYPERLINK("obsidian://open?vault=o2&amp;file=2022-W28.md","2022-W28")</f>
        <v>2022-W28</v>
      </c>
      <c r="L681" s="2"/>
      <c r="M681" s="2" t="s">
        <v>3744</v>
      </c>
      <c r="N681" s="4">
        <v>1</v>
      </c>
      <c r="O681" s="2" t="s">
        <v>3757</v>
      </c>
      <c r="P681" s="11" t="s">
        <v>175</v>
      </c>
      <c r="AH681" s="11">
        <f>SUBTOTAL(3,_xlfn.SINGLE(tbl_code[RowId]))</f>
        <v>1</v>
      </c>
    </row>
    <row r="682" spans="10:34">
      <c r="J682" s="4">
        <v>672</v>
      </c>
      <c r="K682" s="21" t="str">
        <f>HYPERLINK("obsidian://open?vault=o2&amp;file=2022-W28.md","2022-W28")</f>
        <v>2022-W28</v>
      </c>
      <c r="L682" s="2" t="s">
        <v>3319</v>
      </c>
      <c r="M682" s="2" t="s">
        <v>3320</v>
      </c>
      <c r="N682" s="4">
        <v>5</v>
      </c>
      <c r="O682" s="2" t="s">
        <v>3758</v>
      </c>
      <c r="P682" s="11" t="s">
        <v>175</v>
      </c>
      <c r="Q682" s="2" t="s">
        <v>3759</v>
      </c>
      <c r="R682" s="11" t="s">
        <v>175</v>
      </c>
      <c r="S682" s="2" t="s">
        <v>3760</v>
      </c>
      <c r="T682" s="11" t="s">
        <v>175</v>
      </c>
      <c r="U682" s="2" t="s">
        <v>3761</v>
      </c>
      <c r="V682" s="11" t="s">
        <v>175</v>
      </c>
      <c r="W682" s="2" t="s">
        <v>3762</v>
      </c>
      <c r="X682" s="11" t="s">
        <v>175</v>
      </c>
      <c r="AH682" s="11">
        <f>SUBTOTAL(3,_xlfn.SINGLE(tbl_code[RowId]))</f>
        <v>1</v>
      </c>
    </row>
    <row r="683" spans="10:34">
      <c r="J683" s="4">
        <v>673</v>
      </c>
      <c r="K683" s="21" t="str">
        <f>HYPERLINK("obsidian://open?vault=o2&amp;file=2022-W28.md","2022-W28")</f>
        <v>2022-W28</v>
      </c>
      <c r="L683" s="2" t="s">
        <v>3750</v>
      </c>
      <c r="M683" s="2" t="s">
        <v>3751</v>
      </c>
      <c r="N683" s="4">
        <v>1</v>
      </c>
      <c r="O683" s="2" t="s">
        <v>3763</v>
      </c>
      <c r="P683" s="11" t="s">
        <v>175</v>
      </c>
      <c r="AH683" s="11">
        <f>SUBTOTAL(3,_xlfn.SINGLE(tbl_code[RowId]))</f>
        <v>1</v>
      </c>
    </row>
    <row r="684" spans="10:34">
      <c r="J684" s="4">
        <v>674</v>
      </c>
      <c r="K684" s="21" t="str">
        <f>HYPERLINK("obsidian://open?vault=o2&amp;file=2022-W34.md","2022-W34")</f>
        <v>2022-W34</v>
      </c>
      <c r="L684" s="2" t="s">
        <v>3319</v>
      </c>
      <c r="M684" s="2" t="s">
        <v>3320</v>
      </c>
      <c r="N684" s="4">
        <v>4</v>
      </c>
      <c r="O684" s="2" t="s">
        <v>3764</v>
      </c>
      <c r="P684" s="11" t="s">
        <v>175</v>
      </c>
      <c r="Q684" s="2" t="s">
        <v>3765</v>
      </c>
      <c r="R684" s="11" t="s">
        <v>175</v>
      </c>
      <c r="S684" s="2" t="s">
        <v>3766</v>
      </c>
      <c r="T684" s="11" t="s">
        <v>175</v>
      </c>
      <c r="U684" s="2" t="s">
        <v>3767</v>
      </c>
      <c r="V684" s="11" t="s">
        <v>175</v>
      </c>
      <c r="AH684" s="11">
        <f>SUBTOTAL(3,_xlfn.SINGLE(tbl_code[RowId]))</f>
        <v>1</v>
      </c>
    </row>
    <row r="685" spans="10:34">
      <c r="J685" s="4">
        <v>675</v>
      </c>
      <c r="K685" s="21" t="str">
        <f>HYPERLINK("obsidian://open?vault=o2&amp;file=2022.md","2022")</f>
        <v>2022</v>
      </c>
      <c r="L685" s="2" t="s">
        <v>3319</v>
      </c>
      <c r="M685" s="2" t="s">
        <v>3320</v>
      </c>
      <c r="N685" s="4">
        <v>2</v>
      </c>
      <c r="O685" s="2" t="s">
        <v>3768</v>
      </c>
      <c r="P685" s="11" t="s">
        <v>175</v>
      </c>
      <c r="Q685" s="2" t="s">
        <v>3769</v>
      </c>
      <c r="R685" s="11" t="s">
        <v>175</v>
      </c>
      <c r="AH685" s="11">
        <f>SUBTOTAL(3,_xlfn.SINGLE(tbl_code[RowId]))</f>
        <v>1</v>
      </c>
    </row>
    <row r="686" spans="10:34">
      <c r="J686" s="4">
        <v>676</v>
      </c>
      <c r="K686" s="21" t="str">
        <f>HYPERLINK("obsidian://open?vault=o2&amp;file=2024.md","2024")</f>
        <v>2024</v>
      </c>
      <c r="L686" s="2" t="s">
        <v>3319</v>
      </c>
      <c r="M686" s="2" t="s">
        <v>3320</v>
      </c>
      <c r="N686" s="4">
        <v>2</v>
      </c>
      <c r="O686" s="2" t="s">
        <v>3770</v>
      </c>
      <c r="P686" s="11" t="s">
        <v>175</v>
      </c>
      <c r="Q686" s="2" t="s">
        <v>3771</v>
      </c>
      <c r="R686" s="11" t="s">
        <v>175</v>
      </c>
      <c r="AH686" s="11">
        <f>SUBTOTAL(3,_xlfn.SINGLE(tbl_code[RowId]))</f>
        <v>1</v>
      </c>
    </row>
    <row r="687" spans="10:34">
      <c r="J687" s="4">
        <v>677</v>
      </c>
      <c r="K687" s="21" t="str">
        <f>HYPERLINK("obsidian://open?vault=o2&amp;file=2025.md","2025")</f>
        <v>2025</v>
      </c>
      <c r="L687" s="2" t="s">
        <v>3319</v>
      </c>
      <c r="M687" s="2" t="s">
        <v>3320</v>
      </c>
      <c r="N687" s="4">
        <v>2</v>
      </c>
      <c r="O687" s="2" t="s">
        <v>3772</v>
      </c>
      <c r="P687" s="11" t="s">
        <v>175</v>
      </c>
      <c r="Q687" s="2" t="s">
        <v>3773</v>
      </c>
      <c r="R687" s="11" t="s">
        <v>175</v>
      </c>
      <c r="AH687" s="11">
        <f>SUBTOTAL(3,_xlfn.SINGLE(tbl_code[RowId]))</f>
        <v>1</v>
      </c>
    </row>
    <row r="688" spans="10:34">
      <c r="J688" s="4">
        <v>678</v>
      </c>
      <c r="K688" s="21" t="str">
        <f>HYPERLINK("obsidian://open?vault=o2&amp;file=A%20copy%20of%20my%20userChrome.css%20as%20of%202023-02-04.md","A copy of my userChrome.css as of 2023-02-04")</f>
        <v>A copy of my userChrome.css as of 2023-02-04</v>
      </c>
      <c r="L688" s="2"/>
      <c r="M688" s="2" t="s">
        <v>1417</v>
      </c>
      <c r="N688" s="4">
        <v>1</v>
      </c>
      <c r="O688" s="2" t="s">
        <v>3774</v>
      </c>
      <c r="P688" s="11" t="s">
        <v>175</v>
      </c>
      <c r="AH688" s="11">
        <f>SUBTOTAL(3,_xlfn.SINGLE(tbl_code[RowId]))</f>
        <v>1</v>
      </c>
    </row>
    <row r="689" spans="10:34">
      <c r="J689" s="4">
        <v>679</v>
      </c>
      <c r="K689" s="21" t="str">
        <f>HYPERLINK("obsidian://open?vault=o2&amp;file=Dataview%20Console%20Log%20Debugging%20Script.md","Dataview Console Log Debugging Script")</f>
        <v>Dataview Console Log Debugging Script</v>
      </c>
      <c r="L689" s="2" t="s">
        <v>3319</v>
      </c>
      <c r="M689" s="2" t="s">
        <v>3775</v>
      </c>
      <c r="N689" s="4">
        <v>1</v>
      </c>
      <c r="O689" s="2" t="s">
        <v>3776</v>
      </c>
      <c r="P689" s="11" t="s">
        <v>175</v>
      </c>
      <c r="AH689" s="11">
        <f>SUBTOTAL(3,_xlfn.SINGLE(tbl_code[RowId]))</f>
        <v>1</v>
      </c>
    </row>
    <row r="690" spans="10:34">
      <c r="J690" s="4">
        <v>680</v>
      </c>
      <c r="K690" s="21" t="str">
        <f>HYPERLINK("obsidian://open?vault=o2&amp;file=Dataview%20cheat%20sheet.md","Dataview cheat sheet")</f>
        <v>Dataview cheat sheet</v>
      </c>
      <c r="L690" s="2"/>
      <c r="M690" s="2" t="s">
        <v>3294</v>
      </c>
      <c r="N690" s="4">
        <v>2</v>
      </c>
      <c r="O690" s="2" t="s">
        <v>3777</v>
      </c>
      <c r="P690" s="11" t="s">
        <v>175</v>
      </c>
      <c r="Q690" s="2" t="s">
        <v>3778</v>
      </c>
      <c r="R690" s="11" t="s">
        <v>175</v>
      </c>
      <c r="AH690" s="11">
        <f>SUBTOTAL(3,_xlfn.SINGLE(tbl_code[RowId]))</f>
        <v>1</v>
      </c>
    </row>
    <row r="691" spans="10:34">
      <c r="J691" s="4">
        <v>681</v>
      </c>
      <c r="K691" s="21" t="str">
        <f>HYPERLINK("obsidian://open?vault=o2&amp;file=DataviewJS.md","DataviewJS")</f>
        <v>DataviewJS</v>
      </c>
      <c r="L691" s="2"/>
      <c r="M691" s="2" t="s">
        <v>3294</v>
      </c>
      <c r="N691" s="4">
        <v>2</v>
      </c>
      <c r="O691" s="2" t="s">
        <v>3777</v>
      </c>
      <c r="P691" s="11" t="s">
        <v>175</v>
      </c>
      <c r="Q691" s="2" t="s">
        <v>3496</v>
      </c>
      <c r="R691" s="11" t="s">
        <v>175</v>
      </c>
      <c r="AH691" s="11">
        <f>SUBTOTAL(3,_xlfn.SINGLE(tbl_code[RowId]))</f>
        <v>1</v>
      </c>
    </row>
    <row r="692" spans="10:34">
      <c r="J692" s="4">
        <v>682</v>
      </c>
      <c r="K692" s="21" t="str">
        <f>HYPERLINK("obsidian://open?vault=o2&amp;file=FacebookDump.md","FacebookDump")</f>
        <v>FacebookDump</v>
      </c>
      <c r="L692" s="2" t="s">
        <v>3319</v>
      </c>
      <c r="M692" s="2" t="s">
        <v>3320</v>
      </c>
      <c r="N692" s="4">
        <v>1</v>
      </c>
      <c r="O692" s="2" t="s">
        <v>3549</v>
      </c>
      <c r="P692" s="11" t="s">
        <v>175</v>
      </c>
      <c r="AH692" s="11">
        <f>SUBTOTAL(3,_xlfn.SINGLE(tbl_code[RowId]))</f>
        <v>1</v>
      </c>
    </row>
    <row r="693" spans="10:34">
      <c r="J693" s="4">
        <v>683</v>
      </c>
      <c r="K693" s="21" t="str">
        <f>HYPERLINK("obsidian://open?vault=o2&amp;file=FacebookDump.md","FacebookDump")</f>
        <v>FacebookDump</v>
      </c>
      <c r="L693" s="2"/>
      <c r="M693" s="2" t="s">
        <v>3569</v>
      </c>
      <c r="N693" s="4">
        <v>1</v>
      </c>
      <c r="O693" s="2" t="s">
        <v>3705</v>
      </c>
      <c r="P693" s="11" t="s">
        <v>175</v>
      </c>
      <c r="AH693" s="11">
        <f>SUBTOTAL(3,_xlfn.SINGLE(tbl_code[RowId]))</f>
        <v>1</v>
      </c>
    </row>
    <row r="694" spans="10:34">
      <c r="J694" s="4">
        <v>684</v>
      </c>
      <c r="K694" s="21" t="str">
        <f>HYPERLINK("obsidian://open?vault=o2&amp;file=Fleeting%20Notes%20App.md","Fleeting Notes App")</f>
        <v>Fleeting Notes App</v>
      </c>
      <c r="L694" s="2"/>
      <c r="M694" s="2" t="s">
        <v>3294</v>
      </c>
      <c r="N694" s="4">
        <v>2</v>
      </c>
      <c r="O694" s="2" t="s">
        <v>3779</v>
      </c>
      <c r="P694" s="11" t="s">
        <v>175</v>
      </c>
      <c r="Q694" s="2" t="s">
        <v>3780</v>
      </c>
      <c r="R694" s="11" t="s">
        <v>175</v>
      </c>
      <c r="AH694" s="11">
        <f>SUBTOTAL(3,_xlfn.SINGLE(tbl_code[RowId]))</f>
        <v>1</v>
      </c>
    </row>
    <row r="695" spans="10:34">
      <c r="J695" s="4">
        <v>685</v>
      </c>
      <c r="K695" s="21" t="str">
        <f>HYPERLINK("obsidian://open?vault=o2&amp;file=Hotkey%20ShortList%20by%20Assigned%20Hotkey.md","Hotkey ShortList by Assigned Hotkey")</f>
        <v>Hotkey ShortList by Assigned Hotkey</v>
      </c>
      <c r="L695" s="2" t="s">
        <v>3319</v>
      </c>
      <c r="M695" s="2" t="s">
        <v>3775</v>
      </c>
      <c r="N695" s="4">
        <v>1</v>
      </c>
      <c r="O695" s="2" t="s">
        <v>3781</v>
      </c>
      <c r="P695" s="11" t="s">
        <v>175</v>
      </c>
      <c r="AH695" s="11">
        <f>SUBTOTAL(3,_xlfn.SINGLE(tbl_code[RowId]))</f>
        <v>1</v>
      </c>
    </row>
    <row r="696" spans="10:34">
      <c r="J696" s="4">
        <v>686</v>
      </c>
      <c r="K696" s="21" t="str">
        <f>HYPERLINK("obsidian://open?vault=o2&amp;file=Hotkey%20ShortList%20by%20Command%20Name.md","Hotkey ShortList by Command Name")</f>
        <v>Hotkey ShortList by Command Name</v>
      </c>
      <c r="L696" s="2" t="s">
        <v>3319</v>
      </c>
      <c r="M696" s="2" t="s">
        <v>3775</v>
      </c>
      <c r="N696" s="4">
        <v>1</v>
      </c>
      <c r="O696" s="2" t="s">
        <v>3782</v>
      </c>
      <c r="P696" s="11" t="s">
        <v>175</v>
      </c>
      <c r="AH696" s="11">
        <f>SUBTOTAL(3,_xlfn.SINGLE(tbl_code[RowId]))</f>
        <v>1</v>
      </c>
    </row>
    <row r="697" spans="10:34">
      <c r="J697" s="4">
        <v>687</v>
      </c>
      <c r="K697" s="21" t="str">
        <f>HYPERLINK("obsidian://open?vault=o2&amp;file=Hotkey%20ShortList%20by%20CommandID.md","Hotkey ShortList by CommandID")</f>
        <v>Hotkey ShortList by CommandID</v>
      </c>
      <c r="L697" s="2" t="s">
        <v>3319</v>
      </c>
      <c r="M697" s="2" t="s">
        <v>3775</v>
      </c>
      <c r="N697" s="4">
        <v>1</v>
      </c>
      <c r="O697" s="2" t="s">
        <v>3783</v>
      </c>
      <c r="P697" s="11" t="s">
        <v>175</v>
      </c>
      <c r="AH697" s="11">
        <f>SUBTOTAL(3,_xlfn.SINGLE(tbl_code[RowId]))</f>
        <v>1</v>
      </c>
    </row>
    <row r="698" spans="10:34">
      <c r="J698" s="4">
        <v>688</v>
      </c>
      <c r="K698" s="21" t="str">
        <f>HYPERLINK("obsidian://open?vault=o2&amp;file=Hotkeys%20Defined-Orig.md","Hotkeys Defined-Orig")</f>
        <v>Hotkeys Defined-Orig</v>
      </c>
      <c r="L698" s="2" t="s">
        <v>3319</v>
      </c>
      <c r="M698" s="2" t="s">
        <v>3775</v>
      </c>
      <c r="N698" s="4">
        <v>2</v>
      </c>
      <c r="O698" s="2" t="s">
        <v>3781</v>
      </c>
      <c r="P698" s="11" t="s">
        <v>175</v>
      </c>
      <c r="Q698" s="2" t="s">
        <v>3784</v>
      </c>
      <c r="R698" s="11" t="s">
        <v>175</v>
      </c>
      <c r="AH698" s="11">
        <f>SUBTOTAL(3,_xlfn.SINGLE(tbl_code[RowId]))</f>
        <v>1</v>
      </c>
    </row>
    <row r="699" spans="10:34">
      <c r="J699" s="4">
        <v>689</v>
      </c>
      <c r="K699" s="21" t="str">
        <f>HYPERLINK("obsidian://open?vault=o2&amp;file=Hotkeys%20Defined.md","Hotkeys Defined")</f>
        <v>Hotkeys Defined</v>
      </c>
      <c r="L699" s="2" t="s">
        <v>3319</v>
      </c>
      <c r="M699" s="2" t="s">
        <v>3775</v>
      </c>
      <c r="N699" s="4">
        <v>3</v>
      </c>
      <c r="O699" s="2" t="s">
        <v>3782</v>
      </c>
      <c r="P699" s="11" t="s">
        <v>175</v>
      </c>
      <c r="Q699" s="2" t="s">
        <v>3781</v>
      </c>
      <c r="R699" s="11" t="s">
        <v>175</v>
      </c>
      <c r="S699" s="2" t="s">
        <v>3785</v>
      </c>
      <c r="T699" s="11" t="s">
        <v>175</v>
      </c>
      <c r="AH699" s="11">
        <f>SUBTOTAL(3,_xlfn.SINGLE(tbl_code[RowId]))</f>
        <v>1</v>
      </c>
    </row>
    <row r="700" spans="10:34">
      <c r="J700" s="4">
        <v>690</v>
      </c>
      <c r="K700" s="21" t="str">
        <f>HYPERLINK("obsidian://open?vault=o2&amp;file=Hotkeys%20by%20Assigned%20Hotkey.md","Hotkeys by Assigned Hotkey")</f>
        <v>Hotkeys by Assigned Hotkey</v>
      </c>
      <c r="L700" s="2" t="s">
        <v>3319</v>
      </c>
      <c r="M700" s="2" t="s">
        <v>3775</v>
      </c>
      <c r="N700" s="4">
        <v>1</v>
      </c>
      <c r="O700" s="2" t="s">
        <v>3781</v>
      </c>
      <c r="P700" s="11" t="s">
        <v>175</v>
      </c>
      <c r="AH700" s="11">
        <f>SUBTOTAL(3,_xlfn.SINGLE(tbl_code[RowId]))</f>
        <v>1</v>
      </c>
    </row>
    <row r="701" spans="10:34">
      <c r="J701" s="4">
        <v>691</v>
      </c>
      <c r="K701" s="21" t="str">
        <f>HYPERLINK("obsidian://open?vault=o2&amp;file=Hotkeys%20by%20Command%20Name.md","Hotkeys by Command Name")</f>
        <v>Hotkeys by Command Name</v>
      </c>
      <c r="L701" s="2" t="s">
        <v>3319</v>
      </c>
      <c r="M701" s="2" t="s">
        <v>3775</v>
      </c>
      <c r="N701" s="4">
        <v>1</v>
      </c>
      <c r="O701" s="2" t="s">
        <v>3782</v>
      </c>
      <c r="P701" s="11" t="s">
        <v>175</v>
      </c>
      <c r="AH701" s="11">
        <f>SUBTOTAL(3,_xlfn.SINGLE(tbl_code[RowId]))</f>
        <v>1</v>
      </c>
    </row>
    <row r="702" spans="10:34">
      <c r="J702" s="4">
        <v>692</v>
      </c>
      <c r="K702" s="21" t="str">
        <f>HYPERLINK("obsidian://open?vault=o2&amp;file=Hotkeys%20by%20CommandID.md","Hotkeys by CommandID")</f>
        <v>Hotkeys by CommandID</v>
      </c>
      <c r="L702" s="2" t="s">
        <v>3319</v>
      </c>
      <c r="M702" s="2" t="s">
        <v>3775</v>
      </c>
      <c r="N702" s="4">
        <v>1</v>
      </c>
      <c r="O702" s="2" t="s">
        <v>3785</v>
      </c>
      <c r="P702" s="11" t="s">
        <v>175</v>
      </c>
      <c r="AH702" s="11">
        <f>SUBTOTAL(3,_xlfn.SINGLE(tbl_code[RowId]))</f>
        <v>1</v>
      </c>
    </row>
    <row r="703" spans="10:34">
      <c r="J703" s="4">
        <v>693</v>
      </c>
      <c r="K703" s="21" t="str">
        <f>HYPERLINK("obsidian://open?vault=o2&amp;file=JM%27s%20Make.md%20notes.md","JM's Make notes")</f>
        <v>JM's Make notes</v>
      </c>
      <c r="L703" s="2" t="s">
        <v>3291</v>
      </c>
      <c r="M703" s="2" t="s">
        <v>3292</v>
      </c>
      <c r="N703" s="4">
        <v>4</v>
      </c>
      <c r="O703" s="2" t="s">
        <v>3786</v>
      </c>
      <c r="P703" s="11" t="s">
        <v>175</v>
      </c>
      <c r="Q703" s="2" t="s">
        <v>3786</v>
      </c>
      <c r="R703" s="11" t="s">
        <v>175</v>
      </c>
      <c r="S703" s="2" t="s">
        <v>3787</v>
      </c>
      <c r="T703" s="11" t="s">
        <v>175</v>
      </c>
      <c r="U703" s="2" t="s">
        <v>3788</v>
      </c>
      <c r="V703" s="11" t="s">
        <v>175</v>
      </c>
      <c r="AH703" s="11">
        <f>SUBTOTAL(3,_xlfn.SINGLE(tbl_code[RowId]))</f>
        <v>1</v>
      </c>
    </row>
    <row r="704" spans="10:34">
      <c r="J704" s="4">
        <v>694</v>
      </c>
      <c r="K704" s="21" t="str">
        <f>HYPERLINK("obsidian://open?vault=o2&amp;file=Learn%20Python%20in%20Y%20Minutes.md","Learn Python in Y Minutes")</f>
        <v>Learn Python in Y Minutes</v>
      </c>
      <c r="L704" s="2"/>
      <c r="M704" s="2" t="s">
        <v>3294</v>
      </c>
      <c r="N704" s="4">
        <v>1</v>
      </c>
      <c r="O704" s="2" t="s">
        <v>3789</v>
      </c>
      <c r="P704" s="11" t="s">
        <v>175</v>
      </c>
      <c r="AH704" s="11">
        <f>SUBTOTAL(3,_xlfn.SINGLE(tbl_code[RowId]))</f>
        <v>1</v>
      </c>
    </row>
    <row r="705" spans="10:34">
      <c r="J705" s="4">
        <v>695</v>
      </c>
      <c r="K705" s="21" t="str">
        <f>HYPERLINK("obsidian://open?vault=o2&amp;file=Manage%20Users.md","Manage Users")</f>
        <v>Manage Users</v>
      </c>
      <c r="L705" s="2"/>
      <c r="M705" s="2" t="s">
        <v>3294</v>
      </c>
      <c r="N705" s="4">
        <v>10</v>
      </c>
      <c r="O705" s="2" t="s">
        <v>3790</v>
      </c>
      <c r="P705" s="11" t="s">
        <v>175</v>
      </c>
      <c r="Q705" s="2" t="s">
        <v>3791</v>
      </c>
      <c r="R705" s="11" t="s">
        <v>175</v>
      </c>
      <c r="S705" s="2" t="s">
        <v>3792</v>
      </c>
      <c r="T705" s="11" t="s">
        <v>175</v>
      </c>
      <c r="U705" s="2" t="s">
        <v>3793</v>
      </c>
      <c r="V705" s="11" t="s">
        <v>175</v>
      </c>
      <c r="W705" s="2" t="s">
        <v>3794</v>
      </c>
      <c r="X705" s="11" t="s">
        <v>175</v>
      </c>
      <c r="Y705" s="2" t="s">
        <v>3795</v>
      </c>
      <c r="Z705" s="11" t="s">
        <v>175</v>
      </c>
      <c r="AA705" s="2" t="s">
        <v>3796</v>
      </c>
      <c r="AB705" s="11" t="s">
        <v>175</v>
      </c>
      <c r="AC705" s="2" t="s">
        <v>3797</v>
      </c>
      <c r="AD705" s="11" t="s">
        <v>175</v>
      </c>
      <c r="AE705" s="2" t="s">
        <v>3798</v>
      </c>
      <c r="AF705" s="11" t="s">
        <v>175</v>
      </c>
      <c r="AG705" s="2" t="s">
        <v>3799</v>
      </c>
      <c r="AH705" s="11">
        <f>SUBTOTAL(3,_xlfn.SINGLE(tbl_code[RowId]))</f>
        <v>1</v>
      </c>
    </row>
    <row r="706" spans="10:34">
      <c r="J706" s="4">
        <v>696</v>
      </c>
      <c r="K706" s="21" t="str">
        <f>HYPERLINK("obsidian://open?vault=o2&amp;file=Master%20OSINT%20Toolbox.md","Master OSINT Toolbox")</f>
        <v>Master OSINT Toolbox</v>
      </c>
      <c r="L706" s="2"/>
      <c r="M706" s="2" t="s">
        <v>3506</v>
      </c>
      <c r="N706" s="4">
        <v>1</v>
      </c>
      <c r="O706" s="2" t="s">
        <v>3800</v>
      </c>
      <c r="P706" s="11" t="s">
        <v>175</v>
      </c>
      <c r="AH706" s="11">
        <f>SUBTOTAL(3,_xlfn.SINGLE(tbl_code[RowId]))</f>
        <v>1</v>
      </c>
    </row>
    <row r="707" spans="10:34">
      <c r="J707" s="4">
        <v>697</v>
      </c>
      <c r="K707" s="21" t="str">
        <f>HYPERLINK("obsidian://open?vault=o2&amp;file=Metadata%20Menu%20Community%20Plugin.md","Metadata Menu Community Plugin")</f>
        <v>Metadata Menu Community Plugin</v>
      </c>
      <c r="L707" s="2"/>
      <c r="M707" s="2" t="s">
        <v>3294</v>
      </c>
      <c r="N707" s="4">
        <v>5</v>
      </c>
      <c r="O707" s="2" t="s">
        <v>3801</v>
      </c>
      <c r="P707" s="11" t="s">
        <v>175</v>
      </c>
      <c r="Q707" s="2" t="s">
        <v>3777</v>
      </c>
      <c r="R707" s="11" t="s">
        <v>175</v>
      </c>
      <c r="S707" s="2" t="s">
        <v>3496</v>
      </c>
      <c r="T707" s="11" t="s">
        <v>175</v>
      </c>
      <c r="U707" s="2" t="s">
        <v>3777</v>
      </c>
      <c r="V707" s="11" t="s">
        <v>175</v>
      </c>
      <c r="W707" s="2" t="s">
        <v>3496</v>
      </c>
      <c r="X707" s="11" t="s">
        <v>175</v>
      </c>
      <c r="AH707" s="11">
        <f>SUBTOTAL(3,_xlfn.SINGLE(tbl_code[RowId]))</f>
        <v>1</v>
      </c>
    </row>
    <row r="708" spans="10:34">
      <c r="J708" s="4">
        <v>698</v>
      </c>
      <c r="K708" s="21" t="str">
        <f>HYPERLINK("obsidian://open?vault=o2&amp;file=Metadata%20Menu%20Community%20Plugin.md","Metadata Menu Community Plugin")</f>
        <v>Metadata Menu Community Plugin</v>
      </c>
      <c r="L708" s="2" t="s">
        <v>3319</v>
      </c>
      <c r="M708" s="2" t="s">
        <v>3320</v>
      </c>
      <c r="N708" s="4">
        <v>1</v>
      </c>
      <c r="O708" s="2" t="s">
        <v>3802</v>
      </c>
      <c r="P708" s="11" t="s">
        <v>175</v>
      </c>
      <c r="AH708" s="11">
        <f>SUBTOTAL(3,_xlfn.SINGLE(tbl_code[RowId]))</f>
        <v>1</v>
      </c>
    </row>
    <row r="709" spans="10:34">
      <c r="J709" s="4">
        <v>699</v>
      </c>
      <c r="K709" s="21" t="str">
        <f>HYPERLINK("obsidian://open?vault=o2&amp;file=Metadata%20Menu%20Community%20Plugin.md","Metadata Menu Community Plugin")</f>
        <v>Metadata Menu Community Plugin</v>
      </c>
      <c r="L709" s="2" t="s">
        <v>3319</v>
      </c>
      <c r="M709" s="2" t="s">
        <v>3775</v>
      </c>
      <c r="N709" s="4">
        <v>1</v>
      </c>
      <c r="O709" s="2" t="s">
        <v>3803</v>
      </c>
      <c r="P709" s="11" t="s">
        <v>175</v>
      </c>
      <c r="AH709" s="11">
        <f>SUBTOTAL(3,_xlfn.SINGLE(tbl_code[RowId]))</f>
        <v>1</v>
      </c>
    </row>
    <row r="710" spans="10:34">
      <c r="J710" s="4">
        <v>700</v>
      </c>
      <c r="K710" s="21" t="str">
        <f>HYPERLINK("obsidian://open?vault=o2&amp;file=Metadata%20Menu%20Community%20Plugin.md","Metadata Menu Community Plugin")</f>
        <v>Metadata Menu Community Plugin</v>
      </c>
      <c r="L710" s="2"/>
      <c r="M710" s="2" t="s">
        <v>3804</v>
      </c>
      <c r="N710" s="4">
        <v>1</v>
      </c>
      <c r="O710" s="2" t="s">
        <v>3805</v>
      </c>
      <c r="P710" s="11" t="s">
        <v>175</v>
      </c>
      <c r="AH710" s="11">
        <f>SUBTOTAL(3,_xlfn.SINGLE(tbl_code[RowId]))</f>
        <v>1</v>
      </c>
    </row>
    <row r="711" spans="10:34">
      <c r="J711" s="4">
        <v>701</v>
      </c>
      <c r="K711" s="21" t="str">
        <f>HYPERLINK("obsidian://open?vault=o2&amp;file=Metadata.md","Metadata")</f>
        <v>Metadata</v>
      </c>
      <c r="L711" s="2"/>
      <c r="M711" s="2" t="s">
        <v>3510</v>
      </c>
      <c r="N711" s="4">
        <v>1</v>
      </c>
      <c r="O711" s="2" t="s">
        <v>3806</v>
      </c>
      <c r="P711" s="11" t="s">
        <v>175</v>
      </c>
      <c r="AH711" s="11">
        <f>SUBTOTAL(3,_xlfn.SINGLE(tbl_code[RowId]))</f>
        <v>1</v>
      </c>
    </row>
    <row r="712" spans="10:34">
      <c r="J712" s="4">
        <v>702</v>
      </c>
      <c r="K712" s="21" t="str">
        <f>HYPERLINK("obsidian://open?vault=o2&amp;file=My%20Addons.md","My Addons")</f>
        <v>My Addons</v>
      </c>
      <c r="L712" s="2" t="s">
        <v>3319</v>
      </c>
      <c r="M712" s="2" t="s">
        <v>3320</v>
      </c>
      <c r="N712" s="4">
        <v>1</v>
      </c>
      <c r="O712" s="2" t="s">
        <v>3807</v>
      </c>
      <c r="P712" s="11" t="s">
        <v>175</v>
      </c>
      <c r="AH712" s="11">
        <f>SUBTOTAL(3,_xlfn.SINGLE(tbl_code[RowId]))</f>
        <v>1</v>
      </c>
    </row>
    <row r="713" spans="10:34">
      <c r="J713" s="4">
        <v>703</v>
      </c>
      <c r="K713" s="21" t="str">
        <f>HYPERLINK("obsidian://open?vault=o2&amp;file=My%20Adobe%20CS5.5%20Notes.md","My Adobe CS5.5 Notes")</f>
        <v>My Adobe CS5.5 Notes</v>
      </c>
      <c r="L713" s="2"/>
      <c r="M713" s="2" t="s">
        <v>3294</v>
      </c>
      <c r="N713" s="4">
        <v>1</v>
      </c>
      <c r="O713" s="2" t="s">
        <v>3808</v>
      </c>
      <c r="P713" s="11" t="s">
        <v>175</v>
      </c>
      <c r="AH713" s="11">
        <f>SUBTOTAL(3,_xlfn.SINGLE(tbl_code[RowId]))</f>
        <v>1</v>
      </c>
    </row>
    <row r="714" spans="10:34">
      <c r="J714" s="4">
        <v>704</v>
      </c>
      <c r="K714" s="21" t="str">
        <f>HYPERLINK("obsidian://open?vault=o2&amp;file=Obsidian%20Tracker%20Plugin.md","Obsidian Tracker Plugin")</f>
        <v>Obsidian Tracker Plugin</v>
      </c>
      <c r="L714" s="2"/>
      <c r="M714" s="2" t="s">
        <v>3744</v>
      </c>
      <c r="N714" s="4">
        <v>5</v>
      </c>
      <c r="O714" s="2" t="s">
        <v>3757</v>
      </c>
      <c r="P714" s="11" t="s">
        <v>175</v>
      </c>
      <c r="Q714" s="2" t="s">
        <v>3809</v>
      </c>
      <c r="R714" s="11" t="s">
        <v>175</v>
      </c>
      <c r="S714" s="2" t="s">
        <v>3810</v>
      </c>
      <c r="T714" s="11" t="s">
        <v>175</v>
      </c>
      <c r="U714" s="2" t="s">
        <v>3811</v>
      </c>
      <c r="V714" s="11" t="s">
        <v>175</v>
      </c>
      <c r="W714" s="2" t="s">
        <v>3812</v>
      </c>
      <c r="X714" s="11" t="s">
        <v>175</v>
      </c>
      <c r="AH714" s="11">
        <f>SUBTOTAL(3,_xlfn.SINGLE(tbl_code[RowId]))</f>
        <v>1</v>
      </c>
    </row>
    <row r="715" spans="10:34">
      <c r="J715" s="4">
        <v>705</v>
      </c>
      <c r="K715" s="21" t="str">
        <f>HYPERLINK("obsidian://open?vault=o2&amp;file=Obsidian%20Tracker%20Plugin.md","Obsidian Tracker Plugin")</f>
        <v>Obsidian Tracker Plugin</v>
      </c>
      <c r="L715" s="2"/>
      <c r="M715" s="2" t="s">
        <v>3294</v>
      </c>
      <c r="N715" s="4">
        <v>4</v>
      </c>
      <c r="O715" s="2" t="s">
        <v>3813</v>
      </c>
      <c r="P715" s="11" t="s">
        <v>175</v>
      </c>
      <c r="Q715" s="2" t="s">
        <v>3814</v>
      </c>
      <c r="R715" s="11" t="s">
        <v>175</v>
      </c>
      <c r="S715" s="2" t="s">
        <v>3815</v>
      </c>
      <c r="T715" s="11" t="s">
        <v>175</v>
      </c>
      <c r="U715" s="2" t="s">
        <v>3816</v>
      </c>
      <c r="V715" s="11" t="s">
        <v>175</v>
      </c>
      <c r="AH715" s="11">
        <f>SUBTOTAL(3,_xlfn.SINGLE(tbl_code[RowId]))</f>
        <v>1</v>
      </c>
    </row>
    <row r="716" spans="10:34">
      <c r="J716" s="4">
        <v>706</v>
      </c>
      <c r="K716" s="21" t="str">
        <f>HYPERLINK("obsidian://open?vault=o2&amp;file=Obsidian%20Tracker%20Plugin.md","Obsidian Tracker Plugin")</f>
        <v>Obsidian Tracker Plugin</v>
      </c>
      <c r="L716" s="2" t="s">
        <v>3750</v>
      </c>
      <c r="M716" s="2" t="s">
        <v>3751</v>
      </c>
      <c r="N716" s="4">
        <v>2</v>
      </c>
      <c r="O716" s="2" t="s">
        <v>3817</v>
      </c>
      <c r="P716" s="11" t="s">
        <v>175</v>
      </c>
      <c r="Q716" s="2" t="s">
        <v>3818</v>
      </c>
      <c r="R716" s="11" t="s">
        <v>175</v>
      </c>
      <c r="AH716" s="11">
        <f>SUBTOTAL(3,_xlfn.SINGLE(tbl_code[RowId]))</f>
        <v>1</v>
      </c>
    </row>
    <row r="717" spans="10:34">
      <c r="J717" s="4">
        <v>707</v>
      </c>
      <c r="K717" s="21" t="str">
        <f>HYPERLINK("obsidian://open?vault=o2&amp;file=Open%20Task%20Review.md","Open Task Review")</f>
        <v>Open Task Review</v>
      </c>
      <c r="L717" s="2" t="s">
        <v>3319</v>
      </c>
      <c r="M717" s="2" t="s">
        <v>3320</v>
      </c>
      <c r="N717" s="4">
        <v>2</v>
      </c>
      <c r="O717" s="2" t="s">
        <v>3622</v>
      </c>
      <c r="P717" s="11" t="s">
        <v>175</v>
      </c>
      <c r="Q717" s="2" t="s">
        <v>3549</v>
      </c>
      <c r="R717" s="11" t="s">
        <v>175</v>
      </c>
      <c r="AH717" s="11">
        <f>SUBTOTAL(3,_xlfn.SINGLE(tbl_code[RowId]))</f>
        <v>1</v>
      </c>
    </row>
    <row r="718" spans="10:34">
      <c r="J718" s="4">
        <v>708</v>
      </c>
      <c r="K718" s="21" t="str">
        <f>HYPERLINK("obsidian://open?vault=o2&amp;file=Open%20Task%20Review.md","Open Task Review")</f>
        <v>Open Task Review</v>
      </c>
      <c r="L718" s="2"/>
      <c r="M718" s="2" t="s">
        <v>3569</v>
      </c>
      <c r="N718" s="4">
        <v>1</v>
      </c>
      <c r="O718" s="2" t="s">
        <v>3819</v>
      </c>
      <c r="P718" s="11" t="s">
        <v>175</v>
      </c>
      <c r="AH718" s="11">
        <f>SUBTOTAL(3,_xlfn.SINGLE(tbl_code[RowId]))</f>
        <v>1</v>
      </c>
    </row>
    <row r="719" spans="10:34">
      <c r="J719" s="4">
        <v>709</v>
      </c>
      <c r="K719" s="21" t="str">
        <f>HYPERLINK("obsidian://open?vault=o2&amp;file=Open%20Task%20Review.md","Open Task Review")</f>
        <v>Open Task Review</v>
      </c>
      <c r="L719" s="2" t="s">
        <v>3624</v>
      </c>
      <c r="M719" s="2" t="s">
        <v>3625</v>
      </c>
      <c r="N719" s="4">
        <v>3</v>
      </c>
      <c r="O719" s="2" t="s">
        <v>3626</v>
      </c>
      <c r="P719" s="11" t="s">
        <v>175</v>
      </c>
      <c r="Q719" s="2" t="s">
        <v>3627</v>
      </c>
      <c r="R719" s="11" t="s">
        <v>175</v>
      </c>
      <c r="S719" s="2" t="s">
        <v>3628</v>
      </c>
      <c r="T719" s="11" t="s">
        <v>175</v>
      </c>
      <c r="AH719" s="11">
        <f>SUBTOTAL(3,_xlfn.SINGLE(tbl_code[RowId]))</f>
        <v>1</v>
      </c>
    </row>
    <row r="720" spans="10:34">
      <c r="J720" s="4">
        <v>710</v>
      </c>
      <c r="K720" s="21" t="str">
        <f>HYPERLINK("obsidian://open?vault=o2&amp;file=Prism%20Mark%20Syntax%20for%20Colors.md","Prism Mark Syntax for Colors")</f>
        <v>Prism Mark Syntax for Colors</v>
      </c>
      <c r="L720" s="2"/>
      <c r="M720" s="2" t="s">
        <v>3294</v>
      </c>
      <c r="N720" s="4">
        <v>1</v>
      </c>
      <c r="O720" s="2" t="s">
        <v>3820</v>
      </c>
      <c r="P720" s="11" t="s">
        <v>175</v>
      </c>
      <c r="AH720" s="11">
        <f>SUBTOTAL(3,_xlfn.SINGLE(tbl_code[RowId]))</f>
        <v>1</v>
      </c>
    </row>
    <row r="721" spans="10:34">
      <c r="J721" s="4">
        <v>711</v>
      </c>
      <c r="K721" s="21" t="str">
        <f>HYPERLINK("obsidian://open?vault=o2&amp;file=Re-installing%20CasaOS.md","Re-installing CasaOS")</f>
        <v>Re-installing CasaOS</v>
      </c>
      <c r="L721" s="2"/>
      <c r="M721" s="2" t="s">
        <v>3294</v>
      </c>
      <c r="N721" s="4">
        <v>2</v>
      </c>
      <c r="O721" s="2" t="s">
        <v>3821</v>
      </c>
      <c r="P721" s="11" t="s">
        <v>175</v>
      </c>
      <c r="Q721" s="2" t="s">
        <v>3822</v>
      </c>
      <c r="R721" s="11" t="s">
        <v>175</v>
      </c>
      <c r="AH721" s="11">
        <f>SUBTOTAL(3,_xlfn.SINGLE(tbl_code[RowId]))</f>
        <v>1</v>
      </c>
    </row>
    <row r="722" spans="10:34">
      <c r="J722" s="4">
        <v>712</v>
      </c>
      <c r="K722" s="21" t="str">
        <f>HYPERLINK("obsidian://open?vault=o2&amp;file=Sample%20YAML.md","Sample YAML")</f>
        <v>Sample YAML</v>
      </c>
      <c r="L722" s="2" t="s">
        <v>3319</v>
      </c>
      <c r="M722" s="2" t="s">
        <v>3320</v>
      </c>
      <c r="N722" s="4">
        <v>1</v>
      </c>
      <c r="O722" s="2" t="s">
        <v>3823</v>
      </c>
      <c r="P722" s="11" t="s">
        <v>175</v>
      </c>
      <c r="AH722" s="11">
        <f>SUBTOTAL(3,_xlfn.SINGLE(tbl_code[RowId]))</f>
        <v>1</v>
      </c>
    </row>
    <row r="723" spans="10:34">
      <c r="J723" s="4">
        <v>713</v>
      </c>
      <c r="K723" s="21" t="str">
        <f>HYPERLINK("obsidian://open?vault=o2&amp;file=Search%20and%20Replace%20in%20Vim.md","Search and Replace in Vim")</f>
        <v>Search and Replace in Vim</v>
      </c>
      <c r="L723" s="2"/>
      <c r="M723" s="2" t="s">
        <v>3824</v>
      </c>
      <c r="N723" s="4">
        <v>23</v>
      </c>
      <c r="O723" s="2" t="s">
        <v>3825</v>
      </c>
      <c r="P723" s="11" t="s">
        <v>175</v>
      </c>
      <c r="Q723" s="2" t="s">
        <v>3826</v>
      </c>
      <c r="R723" s="11" t="s">
        <v>175</v>
      </c>
      <c r="S723" s="2" t="s">
        <v>3827</v>
      </c>
      <c r="T723" s="11" t="s">
        <v>175</v>
      </c>
      <c r="U723" s="2" t="s">
        <v>3828</v>
      </c>
      <c r="V723" s="11" t="s">
        <v>175</v>
      </c>
      <c r="W723" s="2" t="s">
        <v>3829</v>
      </c>
      <c r="X723" s="11" t="s">
        <v>175</v>
      </c>
      <c r="Y723" s="2" t="s">
        <v>3830</v>
      </c>
      <c r="Z723" s="11" t="s">
        <v>175</v>
      </c>
      <c r="AA723" s="2" t="s">
        <v>3831</v>
      </c>
      <c r="AB723" s="11" t="s">
        <v>175</v>
      </c>
      <c r="AC723" s="2" t="s">
        <v>3832</v>
      </c>
      <c r="AD723" s="11" t="s">
        <v>175</v>
      </c>
      <c r="AE723" s="2" t="s">
        <v>3833</v>
      </c>
      <c r="AF723" s="11" t="s">
        <v>175</v>
      </c>
      <c r="AG723" s="2" t="s">
        <v>3834</v>
      </c>
      <c r="AH723" s="11">
        <f>SUBTOTAL(3,_xlfn.SINGLE(tbl_code[RowId]))</f>
        <v>1</v>
      </c>
    </row>
    <row r="724" spans="10:34">
      <c r="J724" s="4">
        <v>714</v>
      </c>
      <c r="K724" s="21" t="str">
        <f>HYPERLINK("obsidian://open?vault=o2&amp;file=Search%20and%20Replace%20in%20Vim.md","Search and Replace in Vim")</f>
        <v>Search and Replace in Vim</v>
      </c>
      <c r="L724" s="2"/>
      <c r="M724" s="2" t="s">
        <v>3835</v>
      </c>
      <c r="N724" s="4">
        <v>1</v>
      </c>
      <c r="O724" s="2" t="s">
        <v>3836</v>
      </c>
      <c r="P724" s="11" t="s">
        <v>175</v>
      </c>
      <c r="AH724" s="11">
        <f>SUBTOTAL(3,_xlfn.SINGLE(tbl_code[RowId]))</f>
        <v>1</v>
      </c>
    </row>
    <row r="725" spans="10:34">
      <c r="J725" s="4">
        <v>715</v>
      </c>
      <c r="K725" s="21" t="str">
        <f>HYPERLINK("obsidian://open?vault=o2&amp;file=Setup%20Multi%20Row%20Tabs%20in%20Firefox.md","Setup Multi Row Tabs in Firefox")</f>
        <v>Setup Multi Row Tabs in Firefox</v>
      </c>
      <c r="L725" s="2"/>
      <c r="M725" s="2" t="s">
        <v>1417</v>
      </c>
      <c r="N725" s="4">
        <v>3</v>
      </c>
      <c r="O725" s="2" t="s">
        <v>3837</v>
      </c>
      <c r="P725" s="11" t="s">
        <v>175</v>
      </c>
      <c r="Q725" s="2" t="s">
        <v>3838</v>
      </c>
      <c r="R725" s="11" t="s">
        <v>175</v>
      </c>
      <c r="S725" s="2" t="s">
        <v>3839</v>
      </c>
      <c r="T725" s="11" t="s">
        <v>175</v>
      </c>
      <c r="AH725" s="11">
        <f>SUBTOTAL(3,_xlfn.SINGLE(tbl_code[RowId]))</f>
        <v>1</v>
      </c>
    </row>
    <row r="726" spans="10:34">
      <c r="J726" s="4">
        <v>716</v>
      </c>
      <c r="K726" s="21" t="str">
        <f>HYPERLINK("obsidian://open?vault=o2&amp;file=Setup%20Multi%20Row%20Tabs%20in%20Firefox.md","Setup Multi Row Tabs in Firefox")</f>
        <v>Setup Multi Row Tabs in Firefox</v>
      </c>
      <c r="L726" s="2"/>
      <c r="M726" s="2" t="s">
        <v>3294</v>
      </c>
      <c r="N726" s="4">
        <v>1</v>
      </c>
      <c r="O726" s="2" t="s">
        <v>3840</v>
      </c>
      <c r="P726" s="11" t="s">
        <v>175</v>
      </c>
      <c r="AH726" s="11">
        <f>SUBTOTAL(3,_xlfn.SINGLE(tbl_code[RowId]))</f>
        <v>1</v>
      </c>
    </row>
    <row r="727" spans="10:34">
      <c r="J727" s="4">
        <v>717</v>
      </c>
      <c r="K727" s="21" t="str">
        <f>HYPERLINK("obsidian://open?vault=o2&amp;file=Setup%20Nginx%20Proxy%20Manager.md","Setup Nginx Proxy Manager")</f>
        <v>Setup Nginx Proxy Manager</v>
      </c>
      <c r="L727" s="2"/>
      <c r="M727" s="2" t="s">
        <v>3294</v>
      </c>
      <c r="N727" s="4">
        <v>3</v>
      </c>
      <c r="O727" s="2" t="s">
        <v>3841</v>
      </c>
      <c r="P727" s="11" t="s">
        <v>175</v>
      </c>
      <c r="Q727" s="2" t="s">
        <v>3842</v>
      </c>
      <c r="R727" s="11" t="s">
        <v>175</v>
      </c>
      <c r="S727" s="2" t="s">
        <v>3843</v>
      </c>
      <c r="T727" s="11" t="s">
        <v>175</v>
      </c>
      <c r="AH727" s="11">
        <f>SUBTOTAL(3,_xlfn.SINGLE(tbl_code[RowId]))</f>
        <v>1</v>
      </c>
    </row>
    <row r="728" spans="10:34">
      <c r="J728" s="4">
        <v>718</v>
      </c>
      <c r="K728" s="21" t="str">
        <f>HYPERLINK("obsidian://open?vault=o2&amp;file=Setup%20Radarr.md","Setup Radarr")</f>
        <v>Setup Radarr</v>
      </c>
      <c r="L728" s="2"/>
      <c r="M728" s="2" t="s">
        <v>3294</v>
      </c>
      <c r="N728" s="4">
        <v>1</v>
      </c>
      <c r="O728" s="2" t="s">
        <v>3844</v>
      </c>
      <c r="P728" s="11" t="s">
        <v>175</v>
      </c>
      <c r="AH728" s="11">
        <f>SUBTOTAL(3,_xlfn.SINGLE(tbl_code[RowId]))</f>
        <v>1</v>
      </c>
    </row>
    <row r="729" spans="10:34">
      <c r="J729" s="4">
        <v>719</v>
      </c>
      <c r="K729" s="21" t="str">
        <f>HYPERLINK("obsidian://open?vault=o2&amp;file=Setup%20SSH%20to%20work%20in%20Powershell.md","Setup SSH to work in Powershell")</f>
        <v>Setup SSH to work in Powershell</v>
      </c>
      <c r="L729" s="2"/>
      <c r="M729" s="2" t="s">
        <v>3294</v>
      </c>
      <c r="N729" s="4">
        <v>1</v>
      </c>
      <c r="O729" s="2" t="s">
        <v>3845</v>
      </c>
      <c r="P729" s="11" t="s">
        <v>175</v>
      </c>
      <c r="AH729" s="11">
        <f>SUBTOTAL(3,_xlfn.SINGLE(tbl_code[RowId]))</f>
        <v>1</v>
      </c>
    </row>
    <row r="730" spans="10:34">
      <c r="J730" s="4">
        <v>720</v>
      </c>
      <c r="K730" s="21" t="str">
        <f>HYPERLINK("obsidian://open?vault=o2&amp;file=Setup%20a%20VPN%20on%20your%20network.md","Setup a VPN on your network")</f>
        <v>Setup a VPN on your network</v>
      </c>
      <c r="L730" s="2"/>
      <c r="M730" s="2" t="s">
        <v>3294</v>
      </c>
      <c r="N730" s="4">
        <v>9</v>
      </c>
      <c r="O730" s="2" t="s">
        <v>3846</v>
      </c>
      <c r="P730" s="11" t="s">
        <v>175</v>
      </c>
      <c r="Q730" s="2" t="s">
        <v>3847</v>
      </c>
      <c r="R730" s="11" t="s">
        <v>175</v>
      </c>
      <c r="S730" s="2" t="s">
        <v>3848</v>
      </c>
      <c r="T730" s="11" t="s">
        <v>175</v>
      </c>
      <c r="U730" s="2" t="s">
        <v>3849</v>
      </c>
      <c r="V730" s="11" t="s">
        <v>175</v>
      </c>
      <c r="W730" s="2" t="s">
        <v>3850</v>
      </c>
      <c r="X730" s="11" t="s">
        <v>175</v>
      </c>
      <c r="Y730" s="2" t="s">
        <v>3851</v>
      </c>
      <c r="Z730" s="11" t="s">
        <v>175</v>
      </c>
      <c r="AA730" s="2" t="s">
        <v>3852</v>
      </c>
      <c r="AB730" s="11" t="s">
        <v>175</v>
      </c>
      <c r="AC730" s="2" t="s">
        <v>3853</v>
      </c>
      <c r="AD730" s="11" t="s">
        <v>175</v>
      </c>
      <c r="AE730" s="2" t="s">
        <v>3854</v>
      </c>
      <c r="AF730" s="11" t="s">
        <v>175</v>
      </c>
      <c r="AH730" s="11">
        <f>SUBTOTAL(3,_xlfn.SINGLE(tbl_code[RowId]))</f>
        <v>1</v>
      </c>
    </row>
    <row r="731" spans="10:34">
      <c r="J731" s="4">
        <v>721</v>
      </c>
      <c r="K731" s="21" t="str">
        <f>HYPERLINK("obsidian://open?vault=o2&amp;file=Setup%20bash%20and%20VIM.md","Setup bash and VIM")</f>
        <v>Setup bash and VIM</v>
      </c>
      <c r="L731" s="2"/>
      <c r="M731" s="2" t="s">
        <v>3294</v>
      </c>
      <c r="N731" s="4">
        <v>19</v>
      </c>
      <c r="O731" s="2" t="s">
        <v>3855</v>
      </c>
      <c r="P731" s="11" t="s">
        <v>175</v>
      </c>
      <c r="Q731" s="2" t="s">
        <v>3856</v>
      </c>
      <c r="R731" s="11" t="s">
        <v>175</v>
      </c>
      <c r="S731" s="2" t="s">
        <v>3857</v>
      </c>
      <c r="T731" s="11" t="s">
        <v>175</v>
      </c>
      <c r="U731" s="2" t="s">
        <v>3858</v>
      </c>
      <c r="V731" s="11" t="s">
        <v>175</v>
      </c>
      <c r="W731" s="2" t="s">
        <v>3859</v>
      </c>
      <c r="X731" s="11" t="s">
        <v>175</v>
      </c>
      <c r="Y731" s="2" t="s">
        <v>3860</v>
      </c>
      <c r="Z731" s="11" t="s">
        <v>175</v>
      </c>
      <c r="AA731" s="2" t="s">
        <v>3861</v>
      </c>
      <c r="AB731" s="11" t="s">
        <v>175</v>
      </c>
      <c r="AC731" s="2" t="s">
        <v>3862</v>
      </c>
      <c r="AD731" s="11" t="s">
        <v>175</v>
      </c>
      <c r="AE731" s="2" t="s">
        <v>3863</v>
      </c>
      <c r="AF731" s="11" t="s">
        <v>175</v>
      </c>
      <c r="AG731" s="2" t="s">
        <v>3864</v>
      </c>
      <c r="AH731" s="11">
        <f>SUBTOTAL(3,_xlfn.SINGLE(tbl_code[RowId]))</f>
        <v>1</v>
      </c>
    </row>
    <row r="732" spans="10:34">
      <c r="J732" s="4">
        <v>722</v>
      </c>
      <c r="K732" s="21" t="str">
        <f>HYPERLINK("obsidian://open?vault=o2&amp;file=Simple%20Peeps%20Query.md","Simple Peeps Query")</f>
        <v>Simple Peeps Query</v>
      </c>
      <c r="L732" s="2" t="s">
        <v>3319</v>
      </c>
      <c r="M732" s="2" t="s">
        <v>3320</v>
      </c>
      <c r="N732" s="4">
        <v>1</v>
      </c>
      <c r="O732" s="2" t="s">
        <v>3865</v>
      </c>
      <c r="P732" s="11" t="s">
        <v>175</v>
      </c>
      <c r="AH732" s="11">
        <f>SUBTOTAL(3,_xlfn.SINGLE(tbl_code[RowId]))</f>
        <v>1</v>
      </c>
    </row>
    <row r="733" spans="10:34">
      <c r="J733" s="4">
        <v>723</v>
      </c>
      <c r="K733" s="21" t="str">
        <f>HYPERLINK("obsidian://open?vault=o2&amp;file=The%20Debian%20Series-users%20and%20groups%20management.md","The Debian Series-users and groups management")</f>
        <v>The Debian Series-users and groups management</v>
      </c>
      <c r="L733" s="2"/>
      <c r="M733" s="2" t="s">
        <v>3294</v>
      </c>
      <c r="N733" s="4">
        <v>3</v>
      </c>
      <c r="O733" s="2" t="s">
        <v>3866</v>
      </c>
      <c r="P733" s="11" t="s">
        <v>175</v>
      </c>
      <c r="Q733" s="2" t="s">
        <v>3867</v>
      </c>
      <c r="R733" s="11" t="s">
        <v>175</v>
      </c>
      <c r="S733" s="2" t="s">
        <v>3868</v>
      </c>
      <c r="T733" s="11" t="s">
        <v>175</v>
      </c>
      <c r="AH733" s="11">
        <f>SUBTOTAL(3,_xlfn.SINGLE(tbl_code[RowId]))</f>
        <v>1</v>
      </c>
    </row>
    <row r="734" spans="10:34">
      <c r="J734" s="4">
        <v>724</v>
      </c>
      <c r="K734" s="21" t="str">
        <f>HYPERLINK("obsidian://open?vault=o2&amp;file=The%20usermod%20command.md","The usermod command")</f>
        <v>The usermod command</v>
      </c>
      <c r="L734" s="2"/>
      <c r="M734" s="2" t="s">
        <v>3294</v>
      </c>
      <c r="N734" s="4">
        <v>9</v>
      </c>
      <c r="O734" s="2" t="s">
        <v>3869</v>
      </c>
      <c r="P734" s="11" t="s">
        <v>175</v>
      </c>
      <c r="Q734" s="2" t="s">
        <v>3870</v>
      </c>
      <c r="R734" s="11" t="s">
        <v>175</v>
      </c>
      <c r="S734" s="2" t="s">
        <v>3871</v>
      </c>
      <c r="T734" s="11" t="s">
        <v>175</v>
      </c>
      <c r="U734" s="2" t="s">
        <v>3872</v>
      </c>
      <c r="V734" s="11" t="s">
        <v>175</v>
      </c>
      <c r="W734" s="2" t="s">
        <v>3873</v>
      </c>
      <c r="X734" s="11" t="s">
        <v>175</v>
      </c>
      <c r="Y734" s="2" t="s">
        <v>3874</v>
      </c>
      <c r="Z734" s="11" t="s">
        <v>175</v>
      </c>
      <c r="AA734" s="2" t="s">
        <v>3875</v>
      </c>
      <c r="AB734" s="11" t="s">
        <v>175</v>
      </c>
      <c r="AC734" s="2" t="s">
        <v>3876</v>
      </c>
      <c r="AD734" s="11" t="s">
        <v>175</v>
      </c>
      <c r="AE734" s="2" t="s">
        <v>3877</v>
      </c>
      <c r="AF734" s="11" t="s">
        <v>175</v>
      </c>
      <c r="AH734" s="11">
        <f>SUBTOTAL(3,_xlfn.SINGLE(tbl_code[RowId]))</f>
        <v>1</v>
      </c>
    </row>
    <row r="735" spans="10:34">
      <c r="J735" s="4">
        <v>725</v>
      </c>
      <c r="K735" s="21" t="str">
        <f>HYPERLINK("obsidian://open?vault=o2&amp;file=Todoist%20Sync%20Plugin.md","Todoist Sync Plugin")</f>
        <v>Todoist Sync Plugin</v>
      </c>
      <c r="L735" s="2"/>
      <c r="M735" s="2" t="s">
        <v>3294</v>
      </c>
      <c r="N735" s="4">
        <v>12</v>
      </c>
      <c r="O735" s="2" t="s">
        <v>3777</v>
      </c>
      <c r="P735" s="11" t="s">
        <v>175</v>
      </c>
      <c r="Q735" s="2" t="s">
        <v>3496</v>
      </c>
      <c r="R735" s="11" t="s">
        <v>175</v>
      </c>
      <c r="S735" s="2" t="s">
        <v>3777</v>
      </c>
      <c r="T735" s="11" t="s">
        <v>175</v>
      </c>
      <c r="U735" s="2" t="s">
        <v>3496</v>
      </c>
      <c r="V735" s="11" t="s">
        <v>175</v>
      </c>
      <c r="W735" s="2" t="s">
        <v>3777</v>
      </c>
      <c r="X735" s="11" t="s">
        <v>175</v>
      </c>
      <c r="Y735" s="2" t="s">
        <v>3496</v>
      </c>
      <c r="Z735" s="11" t="s">
        <v>175</v>
      </c>
      <c r="AA735" s="2" t="s">
        <v>3777</v>
      </c>
      <c r="AB735" s="11" t="s">
        <v>175</v>
      </c>
      <c r="AC735" s="2" t="s">
        <v>3496</v>
      </c>
      <c r="AD735" s="11" t="s">
        <v>175</v>
      </c>
      <c r="AE735" s="2" t="s">
        <v>3777</v>
      </c>
      <c r="AF735" s="11" t="s">
        <v>175</v>
      </c>
      <c r="AG735" s="2" t="s">
        <v>3496</v>
      </c>
      <c r="AH735" s="11">
        <f>SUBTOTAL(3,_xlfn.SINGLE(tbl_code[RowId]))</f>
        <v>1</v>
      </c>
    </row>
    <row r="736" spans="10:34">
      <c r="J736" s="4">
        <v>726</v>
      </c>
      <c r="K736" s="21" t="str">
        <f>HYPERLINK("obsidian://open?vault=o2&amp;file=Todoist%20Sync%20Plugin.md","Todoist Sync Plugin")</f>
        <v>Todoist Sync Plugin</v>
      </c>
      <c r="L736" s="2" t="s">
        <v>3624</v>
      </c>
      <c r="M736" s="2" t="s">
        <v>3625</v>
      </c>
      <c r="N736" s="4">
        <v>4</v>
      </c>
      <c r="O736" s="2" t="s">
        <v>3878</v>
      </c>
      <c r="P736" s="11" t="s">
        <v>175</v>
      </c>
      <c r="Q736" s="2" t="s">
        <v>3879</v>
      </c>
      <c r="R736" s="11" t="s">
        <v>175</v>
      </c>
      <c r="S736" s="2" t="s">
        <v>3880</v>
      </c>
      <c r="T736" s="11" t="s">
        <v>175</v>
      </c>
      <c r="U736" s="2" t="s">
        <v>3881</v>
      </c>
      <c r="V736" s="11" t="s">
        <v>175</v>
      </c>
      <c r="AH736" s="11">
        <f>SUBTOTAL(3,_xlfn.SINGLE(tbl_code[RowId]))</f>
        <v>1</v>
      </c>
    </row>
    <row r="737" spans="10:34">
      <c r="J737" s="4">
        <v>727</v>
      </c>
      <c r="K737" s="21" t="str">
        <f>HYPERLINK("obsidian://open?vault=o2&amp;file=Unlimited%20Access%20to%20Medium%20Articles.md","Unlimited Access to Medium Articles")</f>
        <v>Unlimited Access to Medium Articles</v>
      </c>
      <c r="L737" s="2"/>
      <c r="M737" s="2" t="s">
        <v>3294</v>
      </c>
      <c r="N737" s="4">
        <v>3</v>
      </c>
      <c r="O737" s="2" t="s">
        <v>3882</v>
      </c>
      <c r="P737" s="11" t="s">
        <v>175</v>
      </c>
      <c r="Q737" s="2" t="s">
        <v>3883</v>
      </c>
      <c r="R737" s="11" t="s">
        <v>175</v>
      </c>
      <c r="S737" s="2" t="s">
        <v>3884</v>
      </c>
      <c r="T737" s="11" t="s">
        <v>175</v>
      </c>
      <c r="AH737" s="11">
        <f>SUBTOTAL(3,_xlfn.SINGLE(tbl_code[RowId]))</f>
        <v>1</v>
      </c>
    </row>
    <row r="738" spans="10:34">
      <c r="J738" s="4">
        <v>728</v>
      </c>
      <c r="K738" s="21" t="str">
        <f>HYPERLINK("obsidian://open?vault=o2&amp;file=Vault%20Troubleshooting.md","Vault Troubleshooting")</f>
        <v>Vault Troubleshooting</v>
      </c>
      <c r="L738" s="2"/>
      <c r="M738" s="2" t="s">
        <v>3294</v>
      </c>
      <c r="N738" s="4">
        <v>1</v>
      </c>
      <c r="O738" s="2" t="s">
        <v>3885</v>
      </c>
      <c r="P738" s="11" t="s">
        <v>175</v>
      </c>
      <c r="AH738" s="11">
        <f>SUBTOTAL(3,_xlfn.SINGLE(tbl_code[RowId]))</f>
        <v>1</v>
      </c>
    </row>
    <row r="739" spans="10:34">
      <c r="J739" s="4">
        <v>729</v>
      </c>
      <c r="K739" s="21" t="str">
        <f>HYPERLINK("obsidian://open?vault=o2&amp;file=What%20I%20did%20to%20fix%20the%20BSOD%20on%20Boot.md","What I did to fix the BSOD on Boot")</f>
        <v>What I did to fix the BSOD on Boot</v>
      </c>
      <c r="L739" s="2"/>
      <c r="M739" s="2" t="s">
        <v>3294</v>
      </c>
      <c r="N739" s="4">
        <v>1</v>
      </c>
      <c r="O739" s="2" t="s">
        <v>3886</v>
      </c>
      <c r="P739" s="11" t="s">
        <v>175</v>
      </c>
      <c r="AH739" s="11">
        <f>SUBTOTAL(3,_xlfn.SINGLE(tbl_code[RowId]))</f>
        <v>1</v>
      </c>
    </row>
    <row r="740" spans="10:34">
      <c r="J740" s="4">
        <v>730</v>
      </c>
      <c r="K740" s="21" t="str">
        <f>HYPERLINK("obsidian://open?vault=o2&amp;file=2025-03-14.md","2025-03-14")</f>
        <v>2025-03-14</v>
      </c>
      <c r="L740" s="2" t="s">
        <v>3455</v>
      </c>
      <c r="M740" s="2" t="s">
        <v>3456</v>
      </c>
      <c r="N740" s="4">
        <v>1</v>
      </c>
      <c r="O740" s="2" t="s">
        <v>3457</v>
      </c>
      <c r="P740" s="11" t="s">
        <v>175</v>
      </c>
      <c r="AH740" s="11">
        <f>SUBTOTAL(3,_xlfn.SINGLE(tbl_code[RowId]))</f>
        <v>1</v>
      </c>
    </row>
    <row r="741" spans="10:34">
      <c r="J741" s="4">
        <v>731</v>
      </c>
      <c r="K741" s="21" t="str">
        <f>HYPERLINK("obsidian://open?vault=o2&amp;file=gEventTest.md","gEventTest")</f>
        <v>gEventTest</v>
      </c>
      <c r="L741" s="2" t="s">
        <v>3319</v>
      </c>
      <c r="M741" s="2" t="s">
        <v>3320</v>
      </c>
      <c r="N741" s="4">
        <v>1</v>
      </c>
      <c r="O741" s="2" t="s">
        <v>3549</v>
      </c>
      <c r="P741" s="11" t="s">
        <v>175</v>
      </c>
      <c r="AH741" s="11">
        <f>SUBTOTAL(3,_xlfn.SINGLE(tbl_code[RowId]))</f>
        <v>1</v>
      </c>
    </row>
    <row r="742" spans="10:34">
      <c r="J742" s="4">
        <v>732</v>
      </c>
      <c r="K742" s="21" t="str">
        <f>HYPERLINK("obsidian://open?vault=o2&amp;file=gEventTest.md","gEventTest")</f>
        <v>gEventTest</v>
      </c>
      <c r="L742" s="2" t="s">
        <v>3319</v>
      </c>
      <c r="M742" s="2" t="s">
        <v>3775</v>
      </c>
      <c r="N742" s="4">
        <v>2</v>
      </c>
      <c r="O742" s="2" t="s">
        <v>3887</v>
      </c>
      <c r="P742" s="11" t="s">
        <v>175</v>
      </c>
      <c r="Q742" s="2" t="s">
        <v>3888</v>
      </c>
      <c r="R742" s="11" t="s">
        <v>175</v>
      </c>
      <c r="AH742" s="11">
        <f>SUBTOTAL(3,_xlfn.SINGLE(tbl_code[RowId]))</f>
        <v>1</v>
      </c>
    </row>
    <row r="743" spans="10:34">
      <c r="J743" s="4">
        <v>733</v>
      </c>
      <c r="K743" s="21" t="str">
        <f>HYPERLINK("obsidian://open?vault=o2&amp;file=gEventTest.md","gEventTest")</f>
        <v>gEventTest</v>
      </c>
      <c r="L743" s="2" t="s">
        <v>3455</v>
      </c>
      <c r="M743" s="2" t="s">
        <v>3456</v>
      </c>
      <c r="N743" s="4">
        <v>1</v>
      </c>
      <c r="O743" s="2" t="s">
        <v>3889</v>
      </c>
      <c r="P743" s="11" t="s">
        <v>175</v>
      </c>
      <c r="AH743" s="11">
        <f>SUBTOTAL(3,_xlfn.SINGLE(tbl_code[RowId]))</f>
        <v>1</v>
      </c>
    </row>
    <row r="744" spans="10:34">
      <c r="J744" s="4">
        <v>734</v>
      </c>
      <c r="K744" s="21" t="str">
        <f>HYPERLINK("obsidian://open?vault=o2&amp;file=gEventTest.md","gEventTest")</f>
        <v>gEventTest</v>
      </c>
      <c r="L744" s="2"/>
      <c r="M744" s="2" t="s">
        <v>3569</v>
      </c>
      <c r="N744" s="4">
        <v>1</v>
      </c>
      <c r="O744" s="2" t="s">
        <v>3705</v>
      </c>
      <c r="P744" s="11" t="s">
        <v>175</v>
      </c>
      <c r="AH744" s="11">
        <f>SUBTOTAL(3,_xlfn.SINGLE(tbl_code[RowId]))</f>
        <v>1</v>
      </c>
    </row>
    <row r="745" spans="10:34">
      <c r="J745" s="4">
        <v>735</v>
      </c>
      <c r="K745" s="21" t="str">
        <f>HYPERLINK("obsidian://open?vault=o2&amp;file=see%20peeps.md","see peeps")</f>
        <v>see peeps</v>
      </c>
      <c r="L745" s="2" t="s">
        <v>3319</v>
      </c>
      <c r="M745" s="2" t="s">
        <v>3775</v>
      </c>
      <c r="N745" s="4">
        <v>1</v>
      </c>
      <c r="O745" s="2" t="s">
        <v>3890</v>
      </c>
      <c r="P745" s="11" t="s">
        <v>175</v>
      </c>
      <c r="AH745" s="11">
        <f>SUBTOTAL(3,_xlfn.SINGLE(tbl_code[RowId]))</f>
        <v>1</v>
      </c>
    </row>
    <row r="746" spans="10:34">
      <c r="J746" s="4">
        <v>736</v>
      </c>
      <c r="K746" s="21" t="str">
        <f>HYPERLINK("obsidian://open?vault=o2&amp;file=see%20people.md","see people")</f>
        <v>see people</v>
      </c>
      <c r="L746" s="2" t="s">
        <v>3319</v>
      </c>
      <c r="M746" s="2" t="s">
        <v>3320</v>
      </c>
      <c r="N746" s="4">
        <v>1</v>
      </c>
      <c r="O746" s="2" t="s">
        <v>3891</v>
      </c>
      <c r="P746" s="11" t="s">
        <v>175</v>
      </c>
      <c r="AH746" s="11">
        <f>SUBTOTAL(3,_xlfn.SINGLE(tbl_code[RowId]))</f>
        <v>1</v>
      </c>
    </row>
    <row r="747" spans="10:34">
      <c r="J747" s="4">
        <v>737</v>
      </c>
      <c r="K747" s="21" t="str">
        <f>HYPERLINK("obsidian://open?vault=o2&amp;file=see%20people.md","see people")</f>
        <v>see people</v>
      </c>
      <c r="L747" s="2" t="s">
        <v>3319</v>
      </c>
      <c r="M747" s="2" t="s">
        <v>3775</v>
      </c>
      <c r="N747" s="4">
        <v>1</v>
      </c>
      <c r="O747" s="2" t="s">
        <v>3892</v>
      </c>
      <c r="P747" s="11" t="s">
        <v>175</v>
      </c>
      <c r="AH747" s="11">
        <f>SUBTOTAL(3,_xlfn.SINGLE(tbl_code[RowId]))</f>
        <v>1</v>
      </c>
    </row>
    <row r="748" spans="10:34">
      <c r="J748" s="4">
        <v>738</v>
      </c>
      <c r="K748" s="21" t="str">
        <f>HYPERLINK("obsidian://open?vault=o2&amp;file=testTasklist.md","testTasklist")</f>
        <v>testTasklist</v>
      </c>
      <c r="L748" s="2"/>
      <c r="M748" s="2" t="s">
        <v>3294</v>
      </c>
      <c r="N748" s="4">
        <v>1</v>
      </c>
      <c r="O748" s="2" t="s">
        <v>3893</v>
      </c>
      <c r="P748" s="11" t="s">
        <v>175</v>
      </c>
      <c r="AH748" s="11">
        <f>SUBTOTAL(3,_xlfn.SINGLE(tbl_code[RowId]))</f>
        <v>1</v>
      </c>
    </row>
    <row r="749" spans="10:34">
      <c r="J749" s="4">
        <v>739</v>
      </c>
      <c r="K749" s="21" t="str">
        <f>HYPERLINK("obsidian://open?vault=o2&amp;file=testTasklist.md","testTasklist")</f>
        <v>testTasklist</v>
      </c>
      <c r="L749" s="2" t="s">
        <v>3319</v>
      </c>
      <c r="M749" s="2" t="s">
        <v>3320</v>
      </c>
      <c r="N749" s="4">
        <v>1</v>
      </c>
      <c r="O749" s="2" t="s">
        <v>3622</v>
      </c>
      <c r="P749" s="11" t="s">
        <v>175</v>
      </c>
      <c r="AH749" s="11">
        <f>SUBTOTAL(3,_xlfn.SINGLE(tbl_code[RowId]))</f>
        <v>1</v>
      </c>
    </row>
    <row r="750" spans="10:34">
      <c r="J750" s="4">
        <v>740</v>
      </c>
      <c r="K750" s="21" t="str">
        <f>HYPERLINK("obsidian://open?vault=o2&amp;file=Area%20Template.md","Area Template")</f>
        <v>Area Template</v>
      </c>
      <c r="L750" s="2" t="s">
        <v>3291</v>
      </c>
      <c r="M750" s="2" t="s">
        <v>3292</v>
      </c>
      <c r="N750" s="4">
        <v>2</v>
      </c>
      <c r="O750" s="2" t="s">
        <v>3293</v>
      </c>
      <c r="P750" s="11" t="s">
        <v>175</v>
      </c>
      <c r="Q750" s="2" t="s">
        <v>3438</v>
      </c>
      <c r="R750" s="11" t="s">
        <v>175</v>
      </c>
      <c r="AH750" s="11">
        <f>SUBTOTAL(3,_xlfn.SINGLE(tbl_code[RowId]))</f>
        <v>1</v>
      </c>
    </row>
    <row r="751" spans="10:34">
      <c r="J751" s="4">
        <v>741</v>
      </c>
      <c r="K751" s="21" t="str">
        <f>HYPERLINK("obsidian://open?vault=o2&amp;file=Area%20Template.md","Area Template")</f>
        <v>Area Template</v>
      </c>
      <c r="L751" s="2" t="s">
        <v>3319</v>
      </c>
      <c r="M751" s="2" t="s">
        <v>3320</v>
      </c>
      <c r="N751" s="4">
        <v>3</v>
      </c>
      <c r="O751" s="2" t="s">
        <v>3894</v>
      </c>
      <c r="P751" s="11" t="s">
        <v>175</v>
      </c>
      <c r="Q751" s="2" t="s">
        <v>3895</v>
      </c>
      <c r="R751" s="11" t="s">
        <v>175</v>
      </c>
      <c r="S751" s="2" t="s">
        <v>3896</v>
      </c>
      <c r="T751" s="11" t="s">
        <v>175</v>
      </c>
      <c r="AH751" s="11">
        <f>SUBTOTAL(3,_xlfn.SINGLE(tbl_code[RowId]))</f>
        <v>1</v>
      </c>
    </row>
    <row r="752" spans="10:34">
      <c r="J752" s="4">
        <v>742</v>
      </c>
      <c r="K752" s="21" t="str">
        <f>HYPERLINK("obsidian://open?vault=o2&amp;file=MOC%20Template.md","MOC Template")</f>
        <v>MOC Template</v>
      </c>
      <c r="L752" s="2" t="s">
        <v>3319</v>
      </c>
      <c r="M752" s="2" t="s">
        <v>3320</v>
      </c>
      <c r="N752" s="4">
        <v>3</v>
      </c>
      <c r="O752" s="2" t="s">
        <v>3897</v>
      </c>
      <c r="P752" s="11" t="s">
        <v>175</v>
      </c>
      <c r="Q752" s="2" t="s">
        <v>3898</v>
      </c>
      <c r="R752" s="11" t="s">
        <v>175</v>
      </c>
      <c r="S752" s="2" t="s">
        <v>3899</v>
      </c>
      <c r="T752" s="11" t="s">
        <v>175</v>
      </c>
      <c r="AH752" s="11">
        <f>SUBTOTAL(3,_xlfn.SINGLE(tbl_code[RowId]))</f>
        <v>1</v>
      </c>
    </row>
    <row r="753" spans="10:34">
      <c r="J753" s="4">
        <v>743</v>
      </c>
      <c r="K753" s="21" t="str">
        <f>HYPERLINK("obsidian://open?vault=o2&amp;file=Daily%20Copy%20Template.md","Daily Copy Template")</f>
        <v>Daily Copy Template</v>
      </c>
      <c r="L753" s="2" t="s">
        <v>3319</v>
      </c>
      <c r="M753" s="2" t="s">
        <v>3320</v>
      </c>
      <c r="N753" s="4">
        <v>2</v>
      </c>
      <c r="O753" s="2" t="s">
        <v>3548</v>
      </c>
      <c r="P753" s="11" t="s">
        <v>175</v>
      </c>
      <c r="Q753" s="2" t="s">
        <v>3549</v>
      </c>
      <c r="R753" s="11" t="s">
        <v>175</v>
      </c>
      <c r="AH753" s="11">
        <f>SUBTOTAL(3,_xlfn.SINGLE(tbl_code[RowId]))</f>
        <v>1</v>
      </c>
    </row>
    <row r="754" spans="10:34">
      <c r="J754" s="4">
        <v>744</v>
      </c>
      <c r="K754" s="21" t="str">
        <f>HYPERLINK("obsidian://open?vault=o2&amp;file=Daily%20Copy2%20Template.md","Daily Copy2 Template")</f>
        <v>Daily Copy2 Template</v>
      </c>
      <c r="L754" s="2" t="s">
        <v>3319</v>
      </c>
      <c r="M754" s="2" t="s">
        <v>3320</v>
      </c>
      <c r="N754" s="4">
        <v>2</v>
      </c>
      <c r="O754" s="2" t="s">
        <v>3548</v>
      </c>
      <c r="P754" s="11" t="s">
        <v>175</v>
      </c>
      <c r="Q754" s="2" t="s">
        <v>3549</v>
      </c>
      <c r="R754" s="11" t="s">
        <v>175</v>
      </c>
      <c r="AH754" s="11">
        <f>SUBTOTAL(3,_xlfn.SINGLE(tbl_code[RowId]))</f>
        <v>1</v>
      </c>
    </row>
    <row r="755" spans="10:34">
      <c r="J755" s="4">
        <v>745</v>
      </c>
      <c r="K755" s="21" t="str">
        <f>HYPERLINK("obsidian://open?vault=o2&amp;file=Daily%20Copy2%20Template.md","Daily Copy2 Template")</f>
        <v>Daily Copy2 Template</v>
      </c>
      <c r="L755" s="2"/>
      <c r="M755" s="2" t="s">
        <v>3569</v>
      </c>
      <c r="N755" s="4">
        <v>1</v>
      </c>
      <c r="O755" s="2" t="s">
        <v>3900</v>
      </c>
      <c r="P755" s="11" t="s">
        <v>175</v>
      </c>
      <c r="AH755" s="11">
        <f>SUBTOTAL(3,_xlfn.SINGLE(tbl_code[RowId]))</f>
        <v>1</v>
      </c>
    </row>
    <row r="756" spans="10:34">
      <c r="J756" s="4">
        <v>746</v>
      </c>
      <c r="K756" s="21" t="str">
        <f>HYPERLINK("obsidian://open?vault=o2&amp;file=Daily%20Copy2%20Template.md","Daily Copy2 Template")</f>
        <v>Daily Copy2 Template</v>
      </c>
      <c r="L756" s="2" t="s">
        <v>3624</v>
      </c>
      <c r="M756" s="2" t="s">
        <v>3625</v>
      </c>
      <c r="N756" s="4">
        <v>3</v>
      </c>
      <c r="O756" s="2" t="s">
        <v>3626</v>
      </c>
      <c r="P756" s="11" t="s">
        <v>175</v>
      </c>
      <c r="Q756" s="2" t="s">
        <v>3627</v>
      </c>
      <c r="R756" s="11" t="s">
        <v>175</v>
      </c>
      <c r="S756" s="2" t="s">
        <v>3628</v>
      </c>
      <c r="T756" s="11" t="s">
        <v>175</v>
      </c>
      <c r="AH756" s="11">
        <f>SUBTOTAL(3,_xlfn.SINGLE(tbl_code[RowId]))</f>
        <v>1</v>
      </c>
    </row>
    <row r="757" spans="10:34">
      <c r="J757" s="4">
        <v>747</v>
      </c>
      <c r="K757" s="21" t="str">
        <f>HYPERLINK("obsidian://open?vault=o2&amp;file=Daily%20Template.md","Daily Template")</f>
        <v>Daily Template</v>
      </c>
      <c r="L757" s="2" t="s">
        <v>3455</v>
      </c>
      <c r="M757" s="2" t="s">
        <v>3456</v>
      </c>
      <c r="N757" s="4">
        <v>1</v>
      </c>
      <c r="O757" s="2" t="s">
        <v>3457</v>
      </c>
      <c r="P757" s="11" t="s">
        <v>175</v>
      </c>
      <c r="AH757" s="11">
        <f>SUBTOTAL(3,_xlfn.SINGLE(tbl_code[RowId]))</f>
        <v>1</v>
      </c>
    </row>
    <row r="758" spans="10:34">
      <c r="J758" s="4">
        <v>748</v>
      </c>
      <c r="K758" s="21" t="str">
        <f>HYPERLINK("obsidian://open?vault=o2&amp;file=Daily%20Template_bup.md","Daily Template_bup")</f>
        <v>Daily Template_bup</v>
      </c>
      <c r="L758" s="2" t="s">
        <v>3455</v>
      </c>
      <c r="M758" s="2" t="s">
        <v>3456</v>
      </c>
      <c r="N758" s="4">
        <v>1</v>
      </c>
      <c r="O758" s="2" t="s">
        <v>3739</v>
      </c>
      <c r="P758" s="11" t="s">
        <v>175</v>
      </c>
      <c r="AH758" s="11">
        <f>SUBTOTAL(3,_xlfn.SINGLE(tbl_code[RowId]))</f>
        <v>1</v>
      </c>
    </row>
    <row r="759" spans="10:34">
      <c r="J759" s="4">
        <v>749</v>
      </c>
      <c r="K759" s="21" t="str">
        <f>HYPERLINK("obsidian://open?vault=o2&amp;file=Life%20Review%20Table%20Addon.md","Life Review Table Addon")</f>
        <v>Life Review Table Addon</v>
      </c>
      <c r="L759" s="2" t="s">
        <v>3291</v>
      </c>
      <c r="M759" s="2" t="s">
        <v>3292</v>
      </c>
      <c r="N759" s="4">
        <v>1</v>
      </c>
      <c r="O759" s="2" t="s">
        <v>3901</v>
      </c>
      <c r="P759" s="11" t="s">
        <v>175</v>
      </c>
      <c r="AH759" s="11">
        <f>SUBTOTAL(3,_xlfn.SINGLE(tbl_code[RowId]))</f>
        <v>1</v>
      </c>
    </row>
    <row r="760" spans="10:34">
      <c r="J760" s="4">
        <v>750</v>
      </c>
      <c r="K760" s="21" t="str">
        <f>HYPERLINK("obsidian://open?vault=o2&amp;file=Monthly%20Review%20Template.md","Monthly Review Template")</f>
        <v>Monthly Review Template</v>
      </c>
      <c r="L760" s="2"/>
      <c r="M760" s="2" t="s">
        <v>3744</v>
      </c>
      <c r="N760" s="4">
        <v>3</v>
      </c>
      <c r="O760" s="2" t="s">
        <v>3902</v>
      </c>
      <c r="P760" s="11" t="s">
        <v>175</v>
      </c>
      <c r="Q760" s="2" t="s">
        <v>3903</v>
      </c>
      <c r="R760" s="11" t="s">
        <v>175</v>
      </c>
      <c r="S760" s="2" t="s">
        <v>3904</v>
      </c>
      <c r="T760" s="11" t="s">
        <v>175</v>
      </c>
      <c r="AH760" s="11">
        <f>SUBTOTAL(3,_xlfn.SINGLE(tbl_code[RowId]))</f>
        <v>1</v>
      </c>
    </row>
    <row r="761" spans="10:34">
      <c r="J761" s="4">
        <v>751</v>
      </c>
      <c r="K761" s="21" t="str">
        <f>HYPERLINK("obsidian://open?vault=o2&amp;file=Monthly%20Review%20Template.md","Monthly Review Template")</f>
        <v>Monthly Review Template</v>
      </c>
      <c r="L761" s="2" t="s">
        <v>3319</v>
      </c>
      <c r="M761" s="2" t="s">
        <v>3320</v>
      </c>
      <c r="N761" s="4">
        <v>2</v>
      </c>
      <c r="O761" s="2" t="s">
        <v>3905</v>
      </c>
      <c r="P761" s="11" t="s">
        <v>175</v>
      </c>
      <c r="Q761" s="2" t="s">
        <v>3906</v>
      </c>
      <c r="R761" s="11" t="s">
        <v>175</v>
      </c>
      <c r="AH761" s="11">
        <f>SUBTOTAL(3,_xlfn.SINGLE(tbl_code[RowId]))</f>
        <v>1</v>
      </c>
    </row>
    <row r="762" spans="10:34">
      <c r="J762" s="4">
        <v>752</v>
      </c>
      <c r="K762" s="21" t="str">
        <f>HYPERLINK("obsidian://open?vault=o2&amp;file=Monthly%20Review%20Template.md","Monthly Review Template")</f>
        <v>Monthly Review Template</v>
      </c>
      <c r="L762" s="2" t="s">
        <v>3750</v>
      </c>
      <c r="M762" s="2" t="s">
        <v>3751</v>
      </c>
      <c r="N762" s="4">
        <v>1</v>
      </c>
      <c r="O762" s="2" t="s">
        <v>3907</v>
      </c>
      <c r="P762" s="11" t="s">
        <v>175</v>
      </c>
      <c r="AH762" s="11">
        <f>SUBTOTAL(3,_xlfn.SINGLE(tbl_code[RowId]))</f>
        <v>1</v>
      </c>
    </row>
    <row r="763" spans="10:34">
      <c r="J763" s="4">
        <v>753</v>
      </c>
      <c r="K763" s="21" t="str">
        <f>HYPERLINK("obsidian://open?vault=o2&amp;file=Quarterly%20Review%20Template.md","Quarterly Review Template")</f>
        <v>Quarterly Review Template</v>
      </c>
      <c r="L763" s="2" t="s">
        <v>3319</v>
      </c>
      <c r="M763" s="2" t="s">
        <v>3320</v>
      </c>
      <c r="N763" s="4">
        <v>2</v>
      </c>
      <c r="O763" s="2" t="s">
        <v>3905</v>
      </c>
      <c r="P763" s="11" t="s">
        <v>175</v>
      </c>
      <c r="Q763" s="2" t="s">
        <v>3908</v>
      </c>
      <c r="R763" s="11" t="s">
        <v>175</v>
      </c>
      <c r="AH763" s="11">
        <f>SUBTOTAL(3,_xlfn.SINGLE(tbl_code[RowId]))</f>
        <v>1</v>
      </c>
    </row>
    <row r="764" spans="10:34">
      <c r="J764" s="4">
        <v>754</v>
      </c>
      <c r="K764" s="21" t="str">
        <f>HYPERLINK("obsidian://open?vault=o2&amp;file=Weekly%20Review%20Template.md","Weekly Review Template")</f>
        <v>Weekly Review Template</v>
      </c>
      <c r="L764" s="2"/>
      <c r="M764" s="2" t="s">
        <v>3744</v>
      </c>
      <c r="N764" s="4">
        <v>1</v>
      </c>
      <c r="O764" s="2" t="s">
        <v>3909</v>
      </c>
      <c r="P764" s="11" t="s">
        <v>175</v>
      </c>
      <c r="AH764" s="11">
        <f>SUBTOTAL(3,_xlfn.SINGLE(tbl_code[RowId]))</f>
        <v>1</v>
      </c>
    </row>
    <row r="765" spans="10:34">
      <c r="J765" s="4">
        <v>755</v>
      </c>
      <c r="K765" s="21" t="str">
        <f>HYPERLINK("obsidian://open?vault=o2&amp;file=Weekly%20Review%20Template.md","Weekly Review Template")</f>
        <v>Weekly Review Template</v>
      </c>
      <c r="L765" s="2" t="s">
        <v>3319</v>
      </c>
      <c r="M765" s="2" t="s">
        <v>3320</v>
      </c>
      <c r="N765" s="4">
        <v>5</v>
      </c>
      <c r="O765" s="2" t="s">
        <v>3905</v>
      </c>
      <c r="P765" s="11" t="s">
        <v>175</v>
      </c>
      <c r="Q765" s="2" t="s">
        <v>3910</v>
      </c>
      <c r="R765" s="11" t="s">
        <v>175</v>
      </c>
      <c r="S765" s="2" t="s">
        <v>3911</v>
      </c>
      <c r="T765" s="11" t="s">
        <v>175</v>
      </c>
      <c r="U765" s="2" t="s">
        <v>3912</v>
      </c>
      <c r="V765" s="11" t="s">
        <v>175</v>
      </c>
      <c r="W765" s="2" t="s">
        <v>3913</v>
      </c>
      <c r="X765" s="11" t="s">
        <v>175</v>
      </c>
      <c r="AH765" s="11">
        <f>SUBTOTAL(3,_xlfn.SINGLE(tbl_code[RowId]))</f>
        <v>1</v>
      </c>
    </row>
    <row r="766" spans="10:34">
      <c r="J766" s="4">
        <v>756</v>
      </c>
      <c r="K766" s="21" t="str">
        <f>HYPERLINK("obsidian://open?vault=o2&amp;file=Weekly%20Review%20Template.md","Weekly Review Template")</f>
        <v>Weekly Review Template</v>
      </c>
      <c r="L766" s="2" t="s">
        <v>3750</v>
      </c>
      <c r="M766" s="2" t="s">
        <v>3751</v>
      </c>
      <c r="N766" s="4">
        <v>1</v>
      </c>
      <c r="O766" s="2" t="s">
        <v>3914</v>
      </c>
      <c r="P766" s="11" t="s">
        <v>175</v>
      </c>
      <c r="AH766" s="11">
        <f>SUBTOTAL(3,_xlfn.SINGLE(tbl_code[RowId]))</f>
        <v>1</v>
      </c>
    </row>
    <row r="767" spans="10:34">
      <c r="J767" s="4">
        <v>757</v>
      </c>
      <c r="K767" s="21" t="str">
        <f>HYPERLINK("obsidian://open?vault=o2&amp;file=Yearly%20Review%20Template.md","Yearly Review Template")</f>
        <v>Yearly Review Template</v>
      </c>
      <c r="L767" s="2" t="s">
        <v>3319</v>
      </c>
      <c r="M767" s="2" t="s">
        <v>3320</v>
      </c>
      <c r="N767" s="4">
        <v>2</v>
      </c>
      <c r="O767" s="2" t="s">
        <v>3905</v>
      </c>
      <c r="P767" s="11" t="s">
        <v>175</v>
      </c>
      <c r="Q767" s="2" t="s">
        <v>3915</v>
      </c>
      <c r="R767" s="11" t="s">
        <v>175</v>
      </c>
      <c r="AH767" s="11">
        <f>SUBTOTAL(3,_xlfn.SINGLE(tbl_code[RowId]))</f>
        <v>1</v>
      </c>
    </row>
    <row r="768" spans="10:34">
      <c r="J768" s="4">
        <v>758</v>
      </c>
      <c r="K768" s="21" t="str">
        <f>HYPERLINK("obsidian://open?vault=o2&amp;file=Kanban%20Template.md","Kanban Template")</f>
        <v>Kanban Template</v>
      </c>
      <c r="L768" s="2"/>
      <c r="M768" s="2" t="s">
        <v>3294</v>
      </c>
      <c r="N768" s="4">
        <v>1</v>
      </c>
      <c r="O768" s="2" t="s">
        <v>3916</v>
      </c>
      <c r="P768" s="11" t="s">
        <v>175</v>
      </c>
      <c r="AH768" s="11">
        <f>SUBTOTAL(3,_xlfn.SINGLE(tbl_code[RowId]))</f>
        <v>1</v>
      </c>
    </row>
    <row r="769" spans="10:34">
      <c r="J769" s="4">
        <v>759</v>
      </c>
      <c r="K769" s="21" t="str">
        <f>HYPERLINK("obsidian://open?vault=o2&amp;file=Project%20Template.md","Project Template")</f>
        <v>Project Template</v>
      </c>
      <c r="L769" s="2" t="s">
        <v>3291</v>
      </c>
      <c r="M769" s="2" t="s">
        <v>3292</v>
      </c>
      <c r="N769" s="4">
        <v>1</v>
      </c>
      <c r="O769" s="2" t="s">
        <v>3318</v>
      </c>
      <c r="P769" s="11" t="s">
        <v>175</v>
      </c>
      <c r="AH769" s="11">
        <f>SUBTOTAL(3,_xlfn.SINGLE(tbl_code[RowId]))</f>
        <v>1</v>
      </c>
    </row>
    <row r="770" spans="10:34">
      <c r="J770" s="4">
        <v>760</v>
      </c>
      <c r="K770" s="21" t="str">
        <f>HYPERLINK("obsidian://open?vault=o2&amp;file=Project%20Template.md","Project Template")</f>
        <v>Project Template</v>
      </c>
      <c r="L770" s="2" t="s">
        <v>3319</v>
      </c>
      <c r="M770" s="2" t="s">
        <v>3320</v>
      </c>
      <c r="N770" s="4">
        <v>1</v>
      </c>
      <c r="O770" s="2" t="s">
        <v>3917</v>
      </c>
      <c r="P770" s="11" t="s">
        <v>175</v>
      </c>
      <c r="AH770" s="11">
        <f>SUBTOTAL(3,_xlfn.SINGLE(tbl_code[RowId]))</f>
        <v>1</v>
      </c>
    </row>
    <row r="771" spans="10:34">
      <c r="J771" s="4">
        <v>761</v>
      </c>
      <c r="K771" s="21" t="str">
        <f>HYPERLINK("obsidian://open?vault=o2&amp;file=%E2%99%BB%EF%B8%8F%20My%20Habits.md","♻️ My Habits")</f>
        <v>♻️ My Habits</v>
      </c>
      <c r="L771" s="2"/>
      <c r="M771" s="2" t="s">
        <v>3744</v>
      </c>
      <c r="N771" s="4">
        <v>3</v>
      </c>
      <c r="O771" s="2" t="s">
        <v>3809</v>
      </c>
      <c r="P771" s="11" t="s">
        <v>175</v>
      </c>
      <c r="Q771" s="2" t="s">
        <v>3918</v>
      </c>
      <c r="R771" s="11" t="s">
        <v>175</v>
      </c>
      <c r="S771" s="2" t="s">
        <v>3919</v>
      </c>
      <c r="T771" s="11" t="s">
        <v>175</v>
      </c>
      <c r="AH771" s="11">
        <f>SUBTOTAL(3,_xlfn.SINGLE(tbl_code[RowId]))</f>
        <v>1</v>
      </c>
    </row>
    <row r="772" spans="10:34">
      <c r="J772" s="4">
        <v>762</v>
      </c>
      <c r="K772" s="21" t="str">
        <f>HYPERLINK("obsidian://open?vault=o2&amp;file=%E2%99%BB%EF%B8%8F%20My%20Habits.md","♻️ My Habits")</f>
        <v>♻️ My Habits</v>
      </c>
      <c r="L772" s="2" t="s">
        <v>3750</v>
      </c>
      <c r="M772" s="2" t="s">
        <v>3751</v>
      </c>
      <c r="N772" s="4">
        <v>1</v>
      </c>
      <c r="O772" s="2" t="s">
        <v>3818</v>
      </c>
      <c r="P772" s="11" t="s">
        <v>175</v>
      </c>
      <c r="AH772" s="11">
        <f>SUBTOTAL(3,_xlfn.SINGLE(tbl_code[RowId]))</f>
        <v>1</v>
      </c>
    </row>
    <row r="773" spans="10:34">
      <c r="J773" s="4">
        <v>763</v>
      </c>
      <c r="K773" s="21" t="str">
        <f>HYPERLINK("obsidian://open?vault=o2&amp;file=%E2%9A%92%EF%B8%8F%20My%20Toolbox.md","⚒️ My Toolbox")</f>
        <v>⚒️ My Toolbox</v>
      </c>
      <c r="L773" s="2" t="s">
        <v>3319</v>
      </c>
      <c r="M773" s="2" t="s">
        <v>3320</v>
      </c>
      <c r="N773" s="4">
        <v>1</v>
      </c>
      <c r="O773" s="2" t="s">
        <v>3920</v>
      </c>
      <c r="P773" s="11" t="s">
        <v>175</v>
      </c>
      <c r="AH773" s="11">
        <f>SUBTOTAL(3,_xlfn.SINGLE(tbl_code[RowId]))</f>
        <v>1</v>
      </c>
    </row>
    <row r="774" spans="10:34">
      <c r="J774" s="4">
        <v>764</v>
      </c>
      <c r="K774" s="21" t="str">
        <f>HYPERLINK("obsidian://open?vault=o2&amp;file=%E2%9A%92%EF%B8%8F%20Orphans.md","⚒️ Orphans")</f>
        <v>⚒️ Orphans</v>
      </c>
      <c r="L774" s="2" t="s">
        <v>3319</v>
      </c>
      <c r="M774" s="2" t="s">
        <v>3320</v>
      </c>
      <c r="N774" s="4">
        <v>2</v>
      </c>
      <c r="O774" s="2" t="s">
        <v>3921</v>
      </c>
      <c r="P774" s="11" t="s">
        <v>175</v>
      </c>
      <c r="Q774" s="2" t="s">
        <v>3922</v>
      </c>
      <c r="R774" s="11" t="s">
        <v>175</v>
      </c>
      <c r="AH774" s="11">
        <f>SUBTOTAL(3,_xlfn.SINGLE(tbl_code[RowId]))</f>
        <v>1</v>
      </c>
    </row>
    <row r="775" spans="10:34">
      <c r="J775" s="4">
        <v>765</v>
      </c>
      <c r="K775" s="21" t="str">
        <f>HYPERLINK("obsidian://open?vault=o2&amp;file=%E2%9A%93%20My%20Areas.md","⚓ My Areas")</f>
        <v>⚓ My Areas</v>
      </c>
      <c r="L775" s="2"/>
      <c r="M775" s="2" t="s">
        <v>3294</v>
      </c>
      <c r="N775" s="4">
        <v>1</v>
      </c>
      <c r="O775" s="2" t="s">
        <v>3923</v>
      </c>
      <c r="P775" s="11" t="s">
        <v>175</v>
      </c>
      <c r="AH775" s="11">
        <f>SUBTOTAL(3,_xlfn.SINGLE(tbl_code[RowId]))</f>
        <v>1</v>
      </c>
    </row>
    <row r="776" spans="10:34">
      <c r="J776" s="4">
        <v>766</v>
      </c>
      <c r="K776" s="21" t="str">
        <f>HYPERLINK("obsidian://open?vault=o2&amp;file=%E2%9A%93%20My%20Areas.md","⚓ My Areas")</f>
        <v>⚓ My Areas</v>
      </c>
      <c r="L776" s="2" t="s">
        <v>3319</v>
      </c>
      <c r="M776" s="2" t="s">
        <v>3320</v>
      </c>
      <c r="N776" s="4">
        <v>1</v>
      </c>
      <c r="O776" s="2" t="s">
        <v>3924</v>
      </c>
      <c r="P776" s="11" t="s">
        <v>175</v>
      </c>
      <c r="AH776" s="11">
        <f>SUBTOTAL(3,_xlfn.SINGLE(tbl_code[RowId]))</f>
        <v>1</v>
      </c>
    </row>
    <row r="777" spans="10:34">
      <c r="J777" s="4">
        <v>767</v>
      </c>
      <c r="K777" s="21" t="str">
        <f>HYPERLINK("obsidian://open?vault=o2&amp;file=%F0%9F%8C%9E%20My%20Greenhouse.md","🌞 My Greenhouse")</f>
        <v>🌞 My Greenhouse</v>
      </c>
      <c r="L777" s="2" t="s">
        <v>3319</v>
      </c>
      <c r="M777" s="2" t="s">
        <v>3320</v>
      </c>
      <c r="N777" s="4">
        <v>3</v>
      </c>
      <c r="O777" s="2" t="s">
        <v>3925</v>
      </c>
      <c r="P777" s="11" t="s">
        <v>175</v>
      </c>
      <c r="Q777" s="2" t="s">
        <v>3926</v>
      </c>
      <c r="R777" s="11" t="s">
        <v>175</v>
      </c>
      <c r="S777" s="2" t="s">
        <v>3927</v>
      </c>
      <c r="T777" s="11" t="s">
        <v>175</v>
      </c>
      <c r="AH777" s="11">
        <f>SUBTOTAL(3,_xlfn.SINGLE(tbl_code[RowId]))</f>
        <v>1</v>
      </c>
    </row>
    <row r="778" spans="10:34">
      <c r="J778" s="4">
        <v>768</v>
      </c>
      <c r="K778" s="21" t="str">
        <f>HYPERLINK("obsidian://open?vault=o2&amp;file=%F0%9F%8F%A0%20My%20Home.md","🏠 My Home")</f>
        <v>🏠 My Home</v>
      </c>
      <c r="L778" s="2" t="s">
        <v>3319</v>
      </c>
      <c r="M778" s="2" t="s">
        <v>3320</v>
      </c>
      <c r="N778" s="4">
        <v>1</v>
      </c>
      <c r="O778" s="2" t="s">
        <v>3928</v>
      </c>
      <c r="P778" s="11" t="s">
        <v>175</v>
      </c>
      <c r="AH778" s="11">
        <f>SUBTOTAL(3,_xlfn.SINGLE(tbl_code[RowId]))</f>
        <v>1</v>
      </c>
    </row>
    <row r="779" spans="10:34">
      <c r="J779" s="4">
        <v>769</v>
      </c>
      <c r="K779" s="21" t="str">
        <f>HYPERLINK("obsidian://open?vault=o2&amp;file=%F0%9F%92%A1%20My%20Brainstorms.md","💡 My Brainstorms")</f>
        <v>💡 My Brainstorms</v>
      </c>
      <c r="L779" s="2" t="s">
        <v>3291</v>
      </c>
      <c r="M779" s="2" t="s">
        <v>3292</v>
      </c>
      <c r="N779" s="4">
        <v>1</v>
      </c>
      <c r="O779" s="2" t="s">
        <v>3929</v>
      </c>
      <c r="P779" s="11" t="s">
        <v>175</v>
      </c>
      <c r="AH779" s="11">
        <f>SUBTOTAL(3,_xlfn.SINGLE(tbl_code[RowId]))</f>
        <v>1</v>
      </c>
    </row>
    <row r="780" spans="10:34">
      <c r="J780" s="4">
        <v>770</v>
      </c>
      <c r="K780" s="21" t="str">
        <f>HYPERLINK("obsidian://open?vault=o2&amp;file=%F0%9F%92%A1%20My%20Brainstorms.md","💡 My Brainstorms")</f>
        <v>💡 My Brainstorms</v>
      </c>
      <c r="L780" s="2" t="s">
        <v>3319</v>
      </c>
      <c r="M780" s="2" t="s">
        <v>3320</v>
      </c>
      <c r="N780" s="4">
        <v>3</v>
      </c>
      <c r="O780" s="2" t="s">
        <v>3930</v>
      </c>
      <c r="P780" s="11" t="s">
        <v>175</v>
      </c>
      <c r="Q780" s="2" t="s">
        <v>3931</v>
      </c>
      <c r="R780" s="11" t="s">
        <v>175</v>
      </c>
      <c r="S780" s="2" t="s">
        <v>3932</v>
      </c>
      <c r="T780" s="11" t="s">
        <v>175</v>
      </c>
      <c r="AH780" s="11">
        <f>SUBTOTAL(3,_xlfn.SINGLE(tbl_code[RowId]))</f>
        <v>1</v>
      </c>
    </row>
    <row r="781" spans="10:34">
      <c r="J781" s="4">
        <v>771</v>
      </c>
      <c r="K781" s="21" t="str">
        <f>HYPERLINK("obsidian://open?vault=o2&amp;file=%F0%9F%92%AD%20My%20Thoughts.md","💭 My Thoughts")</f>
        <v>💭 My Thoughts</v>
      </c>
      <c r="L781" s="2" t="s">
        <v>3319</v>
      </c>
      <c r="M781" s="2" t="s">
        <v>3320</v>
      </c>
      <c r="N781" s="4">
        <v>4</v>
      </c>
      <c r="O781" s="2" t="s">
        <v>3933</v>
      </c>
      <c r="P781" s="11" t="s">
        <v>175</v>
      </c>
      <c r="Q781" s="2" t="s">
        <v>3934</v>
      </c>
      <c r="R781" s="11" t="s">
        <v>175</v>
      </c>
      <c r="S781" s="2" t="s">
        <v>3935</v>
      </c>
      <c r="T781" s="11" t="s">
        <v>175</v>
      </c>
      <c r="U781" s="2" t="s">
        <v>3936</v>
      </c>
      <c r="V781" s="11" t="s">
        <v>175</v>
      </c>
      <c r="AH781" s="11">
        <f>SUBTOTAL(3,_xlfn.SINGLE(tbl_code[RowId]))</f>
        <v>1</v>
      </c>
    </row>
    <row r="782" spans="10:34">
      <c r="J782" s="4">
        <v>772</v>
      </c>
      <c r="K782" s="21" t="str">
        <f>HYPERLINK("obsidian://open?vault=o2&amp;file=%F0%9F%93%81%20My%20Archives.md","📁 My Archives")</f>
        <v>📁 My Archives</v>
      </c>
      <c r="L782" s="2" t="s">
        <v>3319</v>
      </c>
      <c r="M782" s="2" t="s">
        <v>3320</v>
      </c>
      <c r="N782" s="4">
        <v>1</v>
      </c>
      <c r="O782" s="2" t="s">
        <v>3937</v>
      </c>
      <c r="P782" s="11" t="s">
        <v>175</v>
      </c>
      <c r="AH782" s="11">
        <f>SUBTOTAL(3,_xlfn.SINGLE(tbl_code[RowId]))</f>
        <v>1</v>
      </c>
    </row>
    <row r="783" spans="10:34">
      <c r="J783" s="4">
        <v>773</v>
      </c>
      <c r="K783" s="21" t="str">
        <f>HYPERLINK("obsidian://open?vault=o2&amp;file=%F0%9F%93%86%20My%20Periodic%20Reviews.md","📆 My Periodic Reviews")</f>
        <v>📆 My Periodic Reviews</v>
      </c>
      <c r="L783" s="2" t="s">
        <v>3291</v>
      </c>
      <c r="M783" s="2" t="s">
        <v>3292</v>
      </c>
      <c r="N783" s="4">
        <v>1</v>
      </c>
      <c r="O783" s="2" t="s">
        <v>3938</v>
      </c>
      <c r="P783" s="11" t="s">
        <v>175</v>
      </c>
      <c r="AH783" s="11">
        <f>SUBTOTAL(3,_xlfn.SINGLE(tbl_code[RowId]))</f>
        <v>1</v>
      </c>
    </row>
    <row r="784" spans="10:34">
      <c r="J784" s="4">
        <v>774</v>
      </c>
      <c r="K784" s="21" t="str">
        <f>HYPERLINK("obsidian://open?vault=o2&amp;file=%F0%9F%93%86%20My%20Periodic%20Reviews.md","📆 My Periodic Reviews")</f>
        <v>📆 My Periodic Reviews</v>
      </c>
      <c r="L784" s="2" t="s">
        <v>3319</v>
      </c>
      <c r="M784" s="2" t="s">
        <v>3320</v>
      </c>
      <c r="N784" s="4">
        <v>4</v>
      </c>
      <c r="O784" s="2" t="s">
        <v>3939</v>
      </c>
      <c r="P784" s="11" t="s">
        <v>175</v>
      </c>
      <c r="Q784" s="2" t="s">
        <v>3940</v>
      </c>
      <c r="R784" s="11" t="s">
        <v>175</v>
      </c>
      <c r="S784" s="2" t="s">
        <v>3941</v>
      </c>
      <c r="T784" s="11" t="s">
        <v>175</v>
      </c>
      <c r="U784" s="2" t="s">
        <v>3942</v>
      </c>
      <c r="V784" s="11" t="s">
        <v>175</v>
      </c>
      <c r="AH784" s="11">
        <f>SUBTOTAL(3,_xlfn.SINGLE(tbl_code[RowId]))</f>
        <v>1</v>
      </c>
    </row>
    <row r="785" spans="10:34">
      <c r="J785" s="4">
        <v>775</v>
      </c>
      <c r="K785" s="21" t="str">
        <f>HYPERLINK("obsidian://open?vault=o2&amp;file=%F0%9F%93%8C%20Cheatsheet%20Library%20Kanban.md","📌 Cheatsheet Library Kanban")</f>
        <v>📌 Cheatsheet Library Kanban</v>
      </c>
      <c r="L785" s="2"/>
      <c r="M785" s="2" t="s">
        <v>3294</v>
      </c>
      <c r="N785" s="4">
        <v>1</v>
      </c>
      <c r="O785" s="2" t="s">
        <v>3367</v>
      </c>
      <c r="P785" s="11" t="s">
        <v>175</v>
      </c>
      <c r="AH785" s="11">
        <f>SUBTOTAL(3,_xlfn.SINGLE(tbl_code[RowId]))</f>
        <v>1</v>
      </c>
    </row>
    <row r="786" spans="10:34">
      <c r="J786" s="4">
        <v>776</v>
      </c>
      <c r="K786" s="21" t="str">
        <f>HYPERLINK("obsidian://open?vault=o2&amp;file=%F0%9F%93%8C%20Debug%20metaCatchall.md","📌 Debug metaCatchall")</f>
        <v>📌 Debug metaCatchall</v>
      </c>
      <c r="L786" s="2"/>
      <c r="M786" s="2" t="s">
        <v>3294</v>
      </c>
      <c r="N786" s="4">
        <v>1</v>
      </c>
      <c r="O786" s="2" t="s">
        <v>3916</v>
      </c>
      <c r="P786" s="11" t="s">
        <v>175</v>
      </c>
      <c r="AH786" s="11">
        <f>SUBTOTAL(3,_xlfn.SINGLE(tbl_code[RowId]))</f>
        <v>1</v>
      </c>
    </row>
    <row r="787" spans="10:34">
      <c r="J787" s="4">
        <v>777</v>
      </c>
      <c r="K787" s="21" t="str">
        <f>HYPERLINK("obsidian://open?vault=o2&amp;file=%F0%9F%93%8C%20Home%20Project%20Kanban.md","📌 Home Project Kanban")</f>
        <v>📌 Home Project Kanban</v>
      </c>
      <c r="L787" s="2"/>
      <c r="M787" s="2" t="s">
        <v>3294</v>
      </c>
      <c r="N787" s="4">
        <v>1</v>
      </c>
      <c r="O787" s="2" t="s">
        <v>3943</v>
      </c>
      <c r="P787" s="11" t="s">
        <v>175</v>
      </c>
      <c r="AH787" s="11">
        <f>SUBTOTAL(3,_xlfn.SINGLE(tbl_code[RowId]))</f>
        <v>1</v>
      </c>
    </row>
    <row r="788" spans="10:34">
      <c r="J788" s="4">
        <v>778</v>
      </c>
      <c r="K788" s="21" t="str">
        <f>HYPERLINK("obsidian://open?vault=o2&amp;file=%F0%9F%93%8C%20Image%20Categorization%20Kanban.md","📌 Image Categorization Kanban")</f>
        <v>📌 Image Categorization Kanban</v>
      </c>
      <c r="L788" s="2"/>
      <c r="M788" s="2" t="s">
        <v>3294</v>
      </c>
      <c r="N788" s="4">
        <v>1</v>
      </c>
      <c r="O788" s="2" t="s">
        <v>3916</v>
      </c>
      <c r="P788" s="11" t="s">
        <v>175</v>
      </c>
      <c r="AH788" s="11">
        <f>SUBTOTAL(3,_xlfn.SINGLE(tbl_code[RowId]))</f>
        <v>1</v>
      </c>
    </row>
    <row r="789" spans="10:34">
      <c r="J789" s="4">
        <v>779</v>
      </c>
      <c r="K789" s="21" t="str">
        <f>HYPERLINK("obsidian://open?vault=o2&amp;file=%F0%9F%93%8C%20Learning%20iOS%20Kanban.md","📌 Learning iOS Kanban")</f>
        <v>📌 Learning iOS Kanban</v>
      </c>
      <c r="L789" s="2"/>
      <c r="M789" s="2" t="s">
        <v>3294</v>
      </c>
      <c r="N789" s="4">
        <v>1</v>
      </c>
      <c r="O789" s="2" t="s">
        <v>3916</v>
      </c>
      <c r="P789" s="11" t="s">
        <v>175</v>
      </c>
      <c r="AH789" s="11">
        <f>SUBTOTAL(3,_xlfn.SINGLE(tbl_code[RowId]))</f>
        <v>1</v>
      </c>
    </row>
    <row r="790" spans="10:34">
      <c r="J790" s="4">
        <v>780</v>
      </c>
      <c r="K790" s="21" t="str">
        <f>HYPERLINK("obsidian://open?vault=o2&amp;file=%F0%9F%93%8C%20Media%20Project%20Kanban.md","📌 Media Project Kanban")</f>
        <v>📌 Media Project Kanban</v>
      </c>
      <c r="L790" s="2"/>
      <c r="M790" s="2" t="s">
        <v>3294</v>
      </c>
      <c r="N790" s="4">
        <v>1</v>
      </c>
      <c r="O790" s="2" t="s">
        <v>3944</v>
      </c>
      <c r="P790" s="11" t="s">
        <v>175</v>
      </c>
      <c r="AH790" s="11">
        <f>SUBTOTAL(3,_xlfn.SINGLE(tbl_code[RowId]))</f>
        <v>1</v>
      </c>
    </row>
    <row r="791" spans="10:34">
      <c r="J791" s="4">
        <v>781</v>
      </c>
      <c r="K791" s="21" t="str">
        <f>HYPERLINK("obsidian://open?vault=o2&amp;file=%F0%9F%93%8C%20Money%20Management%20Kanban.md","📌 Money Management Kanban")</f>
        <v>📌 Money Management Kanban</v>
      </c>
      <c r="L791" s="2"/>
      <c r="M791" s="2" t="s">
        <v>3294</v>
      </c>
      <c r="N791" s="4">
        <v>1</v>
      </c>
      <c r="O791" s="2" t="s">
        <v>3916</v>
      </c>
      <c r="P791" s="11" t="s">
        <v>175</v>
      </c>
      <c r="AH791" s="11">
        <f>SUBTOTAL(3,_xlfn.SINGLE(tbl_code[RowId]))</f>
        <v>1</v>
      </c>
    </row>
    <row r="792" spans="10:34">
      <c r="J792" s="4">
        <v>782</v>
      </c>
      <c r="K792" s="21" t="str">
        <f>HYPERLINK("obsidian://open?vault=o2&amp;file=%F0%9F%93%8C%20My%20Daily%20Kanban.md","📌 My Daily Kanban")</f>
        <v>📌 My Daily Kanban</v>
      </c>
      <c r="L792" s="2"/>
      <c r="M792" s="2" t="s">
        <v>3294</v>
      </c>
      <c r="N792" s="4">
        <v>1</v>
      </c>
      <c r="O792" s="2" t="s">
        <v>3945</v>
      </c>
      <c r="P792" s="11" t="s">
        <v>175</v>
      </c>
      <c r="AH792" s="11">
        <f>SUBTOTAL(3,_xlfn.SINGLE(tbl_code[RowId]))</f>
        <v>1</v>
      </c>
    </row>
    <row r="793" spans="10:34">
      <c r="J793" s="4">
        <v>783</v>
      </c>
      <c r="K793" s="21" t="str">
        <f>HYPERLINK("obsidian://open?vault=o2&amp;file=%F0%9F%93%8C%20My%20Obsidian%20Kanban.md","📌 My Obsidian Kanban")</f>
        <v>📌 My Obsidian Kanban</v>
      </c>
      <c r="L793" s="2"/>
      <c r="M793" s="2" t="s">
        <v>3294</v>
      </c>
      <c r="N793" s="4">
        <v>1</v>
      </c>
      <c r="O793" s="2" t="s">
        <v>3916</v>
      </c>
      <c r="P793" s="11" t="s">
        <v>175</v>
      </c>
      <c r="AH793" s="11">
        <f>SUBTOTAL(3,_xlfn.SINGLE(tbl_code[RowId]))</f>
        <v>1</v>
      </c>
    </row>
    <row r="794" spans="10:34">
      <c r="J794" s="4">
        <v>784</v>
      </c>
      <c r="K794" s="21" t="str">
        <f>HYPERLINK("obsidian://open?vault=o2&amp;file=%F0%9F%93%8C%20Obsidian%20Person%20Database%20Kanban.md","📌 Obsidian Person Database Kanban")</f>
        <v>📌 Obsidian Person Database Kanban</v>
      </c>
      <c r="L794" s="2"/>
      <c r="M794" s="2" t="s">
        <v>3294</v>
      </c>
      <c r="N794" s="4">
        <v>1</v>
      </c>
      <c r="O794" s="2" t="s">
        <v>3946</v>
      </c>
      <c r="P794" s="11" t="s">
        <v>175</v>
      </c>
      <c r="AH794" s="11">
        <f>SUBTOTAL(3,_xlfn.SINGLE(tbl_code[RowId]))</f>
        <v>1</v>
      </c>
    </row>
    <row r="795" spans="10:34">
      <c r="J795" s="4">
        <v>785</v>
      </c>
      <c r="K795" s="21" t="str">
        <f>HYPERLINK("obsidian://open?vault=o2&amp;file=%F0%9F%93%8C%20Obsidian%20Setup%20Kanban.md","📌 Obsidian Setup Kanban")</f>
        <v>📌 Obsidian Setup Kanban</v>
      </c>
      <c r="L795" s="2"/>
      <c r="M795" s="2" t="s">
        <v>3294</v>
      </c>
      <c r="N795" s="4">
        <v>1</v>
      </c>
      <c r="O795" s="2" t="s">
        <v>3367</v>
      </c>
      <c r="P795" s="11" t="s">
        <v>175</v>
      </c>
      <c r="AH795" s="11">
        <f>SUBTOTAL(3,_xlfn.SINGLE(tbl_code[RowId]))</f>
        <v>1</v>
      </c>
    </row>
    <row r="796" spans="10:34">
      <c r="J796" s="4">
        <v>786</v>
      </c>
      <c r="K796" s="21" t="str">
        <f>HYPERLINK("obsidian://open?vault=o2&amp;file=%F0%9F%93%8C%20Office%20Desk%20Design%20Kanban.md","📌 Office Desk Design Kanban")</f>
        <v>📌 Office Desk Design Kanban</v>
      </c>
      <c r="L796" s="2"/>
      <c r="M796" s="2" t="s">
        <v>3294</v>
      </c>
      <c r="N796" s="4">
        <v>1</v>
      </c>
      <c r="O796" s="2" t="s">
        <v>3916</v>
      </c>
      <c r="P796" s="11" t="s">
        <v>175</v>
      </c>
      <c r="AH796" s="11">
        <f>SUBTOTAL(3,_xlfn.SINGLE(tbl_code[RowId]))</f>
        <v>1</v>
      </c>
    </row>
    <row r="797" spans="10:34">
      <c r="J797" s="4">
        <v>787</v>
      </c>
      <c r="K797" s="21" t="str">
        <f>HYPERLINK("obsidian://open?vault=o2&amp;file=%F0%9F%93%8C%20PC%20Maintenance.md","📌 PC Maintenance")</f>
        <v>📌 PC Maintenance</v>
      </c>
      <c r="L797" s="2"/>
      <c r="M797" s="2" t="s">
        <v>3294</v>
      </c>
      <c r="N797" s="4">
        <v>1</v>
      </c>
      <c r="O797" s="2" t="s">
        <v>3946</v>
      </c>
      <c r="P797" s="11" t="s">
        <v>175</v>
      </c>
      <c r="AH797" s="11">
        <f>SUBTOTAL(3,_xlfn.SINGLE(tbl_code[RowId]))</f>
        <v>1</v>
      </c>
    </row>
    <row r="798" spans="10:34">
      <c r="J798" s="4">
        <v>788</v>
      </c>
      <c r="K798" s="21" t="str">
        <f>HYPERLINK("obsidian://open?vault=o2&amp;file=%F0%9F%93%8C%20Print%20On%20Demand%20Kanban.md","📌 Print On Demand Kanban")</f>
        <v>📌 Print On Demand Kanban</v>
      </c>
      <c r="L798" s="2"/>
      <c r="M798" s="2" t="s">
        <v>3294</v>
      </c>
      <c r="N798" s="4">
        <v>1</v>
      </c>
      <c r="O798" s="2" t="s">
        <v>3916</v>
      </c>
      <c r="P798" s="11" t="s">
        <v>175</v>
      </c>
      <c r="AH798" s="11">
        <f>SUBTOTAL(3,_xlfn.SINGLE(tbl_code[RowId]))</f>
        <v>1</v>
      </c>
    </row>
    <row r="799" spans="10:34">
      <c r="J799" s="4">
        <v>789</v>
      </c>
      <c r="K799" s="21" t="str">
        <f>HYPERLINK("obsidian://open?vault=o2&amp;file=%F0%9F%93%8C%20Rebuild%20PC%20Kanban.md","📌 Rebuild PC Kanban")</f>
        <v>📌 Rebuild PC Kanban</v>
      </c>
      <c r="L799" s="2"/>
      <c r="M799" s="2" t="s">
        <v>3294</v>
      </c>
      <c r="N799" s="4">
        <v>1</v>
      </c>
      <c r="O799" s="2" t="s">
        <v>3946</v>
      </c>
      <c r="P799" s="11" t="s">
        <v>175</v>
      </c>
      <c r="AH799" s="11">
        <f>SUBTOTAL(3,_xlfn.SINGLE(tbl_code[RowId]))</f>
        <v>1</v>
      </c>
    </row>
    <row r="800" spans="10:34">
      <c r="J800" s="4">
        <v>790</v>
      </c>
      <c r="K800" s="21" t="str">
        <f>HYPERLINK("obsidian://open?vault=o2&amp;file=%F0%9F%93%8C%20Recipe%20Database%20and%20Cookbook.md","📌 Recipe Database and Cookbook")</f>
        <v>📌 Recipe Database and Cookbook</v>
      </c>
      <c r="L800" s="2"/>
      <c r="M800" s="2" t="s">
        <v>3294</v>
      </c>
      <c r="N800" s="4">
        <v>1</v>
      </c>
      <c r="O800" s="2" t="s">
        <v>3916</v>
      </c>
      <c r="P800" s="11" t="s">
        <v>175</v>
      </c>
      <c r="AH800" s="11">
        <f>SUBTOTAL(3,_xlfn.SINGLE(tbl_code[RowId]))</f>
        <v>1</v>
      </c>
    </row>
    <row r="801" spans="10:34">
      <c r="J801" s="4">
        <v>791</v>
      </c>
      <c r="K801" s="21" t="str">
        <f>HYPERLINK("obsidian://open?vault=o2&amp;file=%F0%9F%93%8C%20Recovery%20Kanban.md","📌 Recovery Kanban")</f>
        <v>📌 Recovery Kanban</v>
      </c>
      <c r="L801" s="2"/>
      <c r="M801" s="2" t="s">
        <v>3294</v>
      </c>
      <c r="N801" s="4">
        <v>1</v>
      </c>
      <c r="O801" s="2" t="s">
        <v>3946</v>
      </c>
      <c r="P801" s="11" t="s">
        <v>175</v>
      </c>
      <c r="AH801" s="11">
        <f>SUBTOTAL(3,_xlfn.SINGLE(tbl_code[RowId]))</f>
        <v>1</v>
      </c>
    </row>
    <row r="802" spans="10:34">
      <c r="J802" s="4">
        <v>792</v>
      </c>
      <c r="K802" s="21" t="str">
        <f>HYPERLINK("obsidian://open?vault=o2&amp;file=%F0%9F%93%8C%20Setup%20Linode%20Server%20Kanban.md","📌 Setup Linode Server Kanban")</f>
        <v>📌 Setup Linode Server Kanban</v>
      </c>
      <c r="L802" s="2"/>
      <c r="M802" s="2" t="s">
        <v>3294</v>
      </c>
      <c r="N802" s="4">
        <v>1</v>
      </c>
      <c r="O802" s="2" t="s">
        <v>3916</v>
      </c>
      <c r="P802" s="11" t="s">
        <v>175</v>
      </c>
      <c r="AH802" s="11">
        <f>SUBTOTAL(3,_xlfn.SINGLE(tbl_code[RowId]))</f>
        <v>1</v>
      </c>
    </row>
    <row r="803" spans="10:34">
      <c r="J803" s="4">
        <v>793</v>
      </c>
      <c r="K803" s="21" t="str">
        <f>HYPERLINK("obsidian://open?vault=o2&amp;file=%F0%9F%93%9A%20My%20Books.md","📚 My Books")</f>
        <v>📚 My Books</v>
      </c>
      <c r="L803" s="2" t="s">
        <v>3319</v>
      </c>
      <c r="M803" s="2" t="s">
        <v>3320</v>
      </c>
      <c r="N803" s="4">
        <v>5</v>
      </c>
      <c r="O803" s="2" t="s">
        <v>3947</v>
      </c>
      <c r="P803" s="11" t="s">
        <v>175</v>
      </c>
      <c r="Q803" s="2" t="s">
        <v>3948</v>
      </c>
      <c r="R803" s="11" t="s">
        <v>175</v>
      </c>
      <c r="S803" s="2" t="s">
        <v>3949</v>
      </c>
      <c r="T803" s="11" t="s">
        <v>175</v>
      </c>
      <c r="U803" s="2" t="s">
        <v>3950</v>
      </c>
      <c r="V803" s="11" t="s">
        <v>175</v>
      </c>
      <c r="W803" s="2" t="s">
        <v>3951</v>
      </c>
      <c r="X803" s="11" t="s">
        <v>175</v>
      </c>
      <c r="AH803" s="11">
        <f>SUBTOTAL(3,_xlfn.SINGLE(tbl_code[RowId]))</f>
        <v>1</v>
      </c>
    </row>
    <row r="804" spans="10:34">
      <c r="J804" s="4">
        <v>794</v>
      </c>
      <c r="K804" s="21" t="str">
        <f>HYPERLINK("obsidian://open?vault=o2&amp;file=%F0%9F%93%A5%20Konik%20Method%20for%20Making%20Useful%20Notes.md","📥 Konik Method for Making Useful Notes")</f>
        <v>📥 Konik Method for Making Useful Notes</v>
      </c>
      <c r="L804" s="2"/>
      <c r="M804" s="2" t="s">
        <v>3294</v>
      </c>
      <c r="N804" s="4">
        <v>1</v>
      </c>
      <c r="O804" s="2" t="s">
        <v>3952</v>
      </c>
      <c r="P804" s="11" t="s">
        <v>175</v>
      </c>
      <c r="AH804" s="11">
        <f>SUBTOTAL(3,_xlfn.SINGLE(tbl_code[RowId]))</f>
        <v>1</v>
      </c>
    </row>
    <row r="805" spans="10:34">
      <c r="J805" s="4">
        <v>795</v>
      </c>
      <c r="K805" s="21" t="str">
        <f>HYPERLINK("obsidian://open?vault=o2&amp;file=%F0%9F%93%A5%20My%20Inputs.md","📥 My Inputs")</f>
        <v>📥 My Inputs</v>
      </c>
      <c r="L805" s="2" t="s">
        <v>3291</v>
      </c>
      <c r="M805" s="2" t="s">
        <v>3292</v>
      </c>
      <c r="N805" s="4">
        <v>1</v>
      </c>
      <c r="O805" s="2" t="s">
        <v>3953</v>
      </c>
      <c r="P805" s="11" t="s">
        <v>175</v>
      </c>
      <c r="AH805" s="11">
        <f>SUBTOTAL(3,_xlfn.SINGLE(tbl_code[RowId]))</f>
        <v>1</v>
      </c>
    </row>
    <row r="806" spans="10:34">
      <c r="J806" s="4">
        <v>796</v>
      </c>
      <c r="K806" s="21" t="str">
        <f>HYPERLINK("obsidian://open?vault=o2&amp;file=%F0%9F%93%A5%20My%20Inputs.md","📥 My Inputs")</f>
        <v>📥 My Inputs</v>
      </c>
      <c r="L806" s="2" t="s">
        <v>3319</v>
      </c>
      <c r="M806" s="2" t="s">
        <v>3320</v>
      </c>
      <c r="N806" s="4">
        <v>5</v>
      </c>
      <c r="O806" s="2" t="s">
        <v>3954</v>
      </c>
      <c r="P806" s="11" t="s">
        <v>175</v>
      </c>
      <c r="Q806" s="2" t="s">
        <v>3955</v>
      </c>
      <c r="R806" s="11" t="s">
        <v>175</v>
      </c>
      <c r="S806" s="2" t="s">
        <v>3956</v>
      </c>
      <c r="T806" s="11" t="s">
        <v>175</v>
      </c>
      <c r="U806" s="2" t="s">
        <v>3957</v>
      </c>
      <c r="V806" s="11" t="s">
        <v>175</v>
      </c>
      <c r="W806" s="2" t="s">
        <v>3958</v>
      </c>
      <c r="X806" s="11" t="s">
        <v>175</v>
      </c>
      <c r="AH806" s="11">
        <f>SUBTOTAL(3,_xlfn.SINGLE(tbl_code[RowId]))</f>
        <v>1</v>
      </c>
    </row>
    <row r="807" spans="10:34">
      <c r="J807" s="4">
        <v>797</v>
      </c>
      <c r="K807" s="21" t="str">
        <f>HYPERLINK("obsidian://open?vault=o2&amp;file=%F0%9F%97%BA%EF%B8%8F%20Cooking%20MOC.md","🗺️ Cooking MOC")</f>
        <v>🗺️ Cooking MOC</v>
      </c>
      <c r="L807" s="2" t="s">
        <v>3319</v>
      </c>
      <c r="M807" s="2" t="s">
        <v>3320</v>
      </c>
      <c r="N807" s="4">
        <v>3</v>
      </c>
      <c r="O807" s="2" t="s">
        <v>3959</v>
      </c>
      <c r="P807" s="11" t="s">
        <v>175</v>
      </c>
      <c r="Q807" s="2" t="s">
        <v>3960</v>
      </c>
      <c r="R807" s="11" t="s">
        <v>175</v>
      </c>
      <c r="S807" s="2" t="s">
        <v>3961</v>
      </c>
      <c r="T807" s="11" t="s">
        <v>175</v>
      </c>
      <c r="AH807" s="11">
        <f>SUBTOTAL(3,_xlfn.SINGLE(tbl_code[RowId]))</f>
        <v>1</v>
      </c>
    </row>
    <row r="808" spans="10:34">
      <c r="J808" s="4">
        <v>798</v>
      </c>
      <c r="K808" s="21" t="str">
        <f>HYPERLINK("obsidian://open?vault=o2&amp;file=%F0%9F%97%BA%EF%B8%8F%20My%20MOCs.md","🗺️ My MOCs")</f>
        <v>🗺️ My MOCs</v>
      </c>
      <c r="L808" s="2" t="s">
        <v>3319</v>
      </c>
      <c r="M808" s="2" t="s">
        <v>3320</v>
      </c>
      <c r="N808" s="4">
        <v>3</v>
      </c>
      <c r="O808" s="2" t="s">
        <v>3962</v>
      </c>
      <c r="P808" s="11" t="s">
        <v>175</v>
      </c>
      <c r="Q808" s="2" t="s">
        <v>3963</v>
      </c>
      <c r="R808" s="11" t="s">
        <v>175</v>
      </c>
      <c r="S808" s="2" t="s">
        <v>3964</v>
      </c>
      <c r="T808" s="11" t="s">
        <v>175</v>
      </c>
      <c r="AH808" s="11">
        <f>SUBTOTAL(3,_xlfn.SINGLE(tbl_code[RowId]))</f>
        <v>1</v>
      </c>
    </row>
    <row r="809" spans="10:34">
      <c r="J809" s="4">
        <v>799</v>
      </c>
      <c r="K809" s="21" t="str">
        <f>HYPERLINK("obsidian://open?vault=o2&amp;file=%F0%9F%97%BA%EF%B8%8F%20Note%20Taking%20MOC.md","🗺️ Note Taking MOC")</f>
        <v>🗺️ Note Taking MOC</v>
      </c>
      <c r="L809" s="2" t="s">
        <v>3319</v>
      </c>
      <c r="M809" s="2" t="s">
        <v>3320</v>
      </c>
      <c r="N809" s="4">
        <v>3</v>
      </c>
      <c r="O809" s="2" t="s">
        <v>3965</v>
      </c>
      <c r="P809" s="11" t="s">
        <v>175</v>
      </c>
      <c r="Q809" s="2" t="s">
        <v>3966</v>
      </c>
      <c r="R809" s="11" t="s">
        <v>175</v>
      </c>
      <c r="S809" s="2" t="s">
        <v>3967</v>
      </c>
      <c r="T809" s="11" t="s">
        <v>175</v>
      </c>
      <c r="AH809" s="11">
        <f>SUBTOTAL(3,_xlfn.SINGLE(tbl_code[RowId]))</f>
        <v>1</v>
      </c>
    </row>
    <row r="810" spans="10:34">
      <c r="J810" s="4">
        <v>800</v>
      </c>
      <c r="K810" s="21" t="str">
        <f>HYPERLINK("obsidian://open?vault=o2&amp;file=%F0%9F%97%BA%EF%B8%8F%20Obsidian%20MOC.md","🗺️ Obsidian MOC")</f>
        <v>🗺️ Obsidian MOC</v>
      </c>
      <c r="L810" s="2" t="s">
        <v>3319</v>
      </c>
      <c r="M810" s="2" t="s">
        <v>3320</v>
      </c>
      <c r="N810" s="4">
        <v>3</v>
      </c>
      <c r="O810" s="2" t="s">
        <v>3968</v>
      </c>
      <c r="P810" s="11" t="s">
        <v>175</v>
      </c>
      <c r="Q810" s="2" t="s">
        <v>3969</v>
      </c>
      <c r="R810" s="11" t="s">
        <v>175</v>
      </c>
      <c r="S810" s="2" t="s">
        <v>3970</v>
      </c>
      <c r="T810" s="11" t="s">
        <v>175</v>
      </c>
      <c r="AH810" s="11">
        <f>SUBTOTAL(3,_xlfn.SINGLE(tbl_code[RowId]))</f>
        <v>1</v>
      </c>
    </row>
    <row r="811" spans="10:34">
      <c r="J811" s="4">
        <v>801</v>
      </c>
      <c r="K811" s="21" t="str">
        <f>HYPERLINK("obsidian://open?vault=o2&amp;file=%F0%9F%97%BA%EF%B8%8F%20Project%20Management%20MOC.md","🗺️ Project Management MOC")</f>
        <v>🗺️ Project Management MOC</v>
      </c>
      <c r="L811" s="2" t="s">
        <v>3319</v>
      </c>
      <c r="M811" s="2" t="s">
        <v>3320</v>
      </c>
      <c r="N811" s="4">
        <v>3</v>
      </c>
      <c r="O811" s="2" t="s">
        <v>3971</v>
      </c>
      <c r="P811" s="11" t="s">
        <v>175</v>
      </c>
      <c r="Q811" s="2" t="s">
        <v>3972</v>
      </c>
      <c r="R811" s="11" t="s">
        <v>175</v>
      </c>
      <c r="S811" s="2" t="s">
        <v>3973</v>
      </c>
      <c r="T811" s="11" t="s">
        <v>175</v>
      </c>
      <c r="AH811" s="11">
        <f>SUBTOTAL(3,_xlfn.SINGLE(tbl_code[RowId]))</f>
        <v>1</v>
      </c>
    </row>
    <row r="812" spans="10:34">
      <c r="J812" s="4">
        <v>802</v>
      </c>
      <c r="K812" s="21" t="str">
        <f>HYPERLINK("obsidian://open?vault=o2&amp;file=%F0%9F%97%BA%EF%B8%8F%20Recipes%20MOC.md","🗺️ Recipes MOC")</f>
        <v>🗺️ Recipes MOC</v>
      </c>
      <c r="L812" s="2" t="s">
        <v>3319</v>
      </c>
      <c r="M812" s="2" t="s">
        <v>3320</v>
      </c>
      <c r="N812" s="4">
        <v>3</v>
      </c>
      <c r="O812" s="2" t="s">
        <v>3974</v>
      </c>
      <c r="P812" s="11" t="s">
        <v>175</v>
      </c>
      <c r="Q812" s="2" t="s">
        <v>3975</v>
      </c>
      <c r="R812" s="11" t="s">
        <v>175</v>
      </c>
      <c r="S812" s="2" t="s">
        <v>3976</v>
      </c>
      <c r="T812" s="11" t="s">
        <v>175</v>
      </c>
      <c r="AH812" s="11">
        <f>SUBTOTAL(3,_xlfn.SINGLE(tbl_code[RowId]))</f>
        <v>1</v>
      </c>
    </row>
    <row r="813" spans="10:34">
      <c r="J813" s="4">
        <v>803</v>
      </c>
      <c r="K813" s="21" t="str">
        <f>HYPERLINK("obsidian://open?vault=o2&amp;file=%F0%9F%97%BA%EF%B8%8F%20Videos%20MOC.md","🗺️ Videos MOC")</f>
        <v>🗺️ Videos MOC</v>
      </c>
      <c r="L813" s="2" t="s">
        <v>3319</v>
      </c>
      <c r="M813" s="2" t="s">
        <v>3320</v>
      </c>
      <c r="N813" s="4">
        <v>3</v>
      </c>
      <c r="O813" s="2" t="s">
        <v>3977</v>
      </c>
      <c r="P813" s="11" t="s">
        <v>175</v>
      </c>
      <c r="Q813" s="2" t="s">
        <v>3898</v>
      </c>
      <c r="R813" s="11" t="s">
        <v>175</v>
      </c>
      <c r="S813" s="2" t="s">
        <v>3978</v>
      </c>
      <c r="T813" s="11" t="s">
        <v>175</v>
      </c>
      <c r="AH813" s="11">
        <f>SUBTOTAL(3,_xlfn.SINGLE(tbl_code[RowId]))</f>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01513"/>
  </sheetPr>
  <dimension ref="A2:L61"/>
  <sheetViews>
    <sheetView showGridLines="0" workbookViewId="0">
      <selection activeCell="C18" sqref="C18"/>
    </sheetView>
  </sheetViews>
  <sheetFormatPr defaultRowHeight="15"/>
  <cols>
    <col min="1" max="1" width="9.23046875" style="260"/>
    <col min="3" max="3" width="32" customWidth="1"/>
    <col min="4" max="4" width="10" customWidth="1"/>
    <col min="10" max="10" width="8" customWidth="1"/>
    <col min="11" max="11" width="30" customWidth="1"/>
    <col min="12" max="12" width="80" customWidth="1"/>
  </cols>
  <sheetData>
    <row r="2" spans="3:12" ht="29.5">
      <c r="C2" s="1" t="s">
        <v>4614</v>
      </c>
    </row>
    <row r="3" spans="3:12">
      <c r="C3" s="2" t="s">
        <v>3979</v>
      </c>
    </row>
    <row r="5" spans="3:12" ht="18">
      <c r="C5" s="6" t="s">
        <v>0</v>
      </c>
      <c r="D5" s="7" t="s">
        <v>5</v>
      </c>
    </row>
    <row r="6" spans="3:12">
      <c r="C6" s="216" t="s">
        <v>3980</v>
      </c>
      <c r="D6" s="4">
        <f>_xlfn.AGGREGATE(3,3,tbl_xyml[Notes])</f>
        <v>51</v>
      </c>
    </row>
    <row r="7" spans="3:12">
      <c r="C7" s="216" t="s">
        <v>4572</v>
      </c>
      <c r="D7" s="4">
        <f>COUNTIF(tbl_xyml[Likely Issue],C8)</f>
        <v>21</v>
      </c>
    </row>
    <row r="8" spans="3:12">
      <c r="C8" s="216" t="s">
        <v>3981</v>
      </c>
      <c r="D8" s="4">
        <f>COUNTIF(tbl_xyml[Likely Issue],C7)</f>
        <v>0</v>
      </c>
    </row>
    <row r="9" spans="3:12">
      <c r="C9" s="216" t="s">
        <v>4573</v>
      </c>
      <c r="D9" s="4">
        <f>COUNTIF(tbl_xyml[Likely Issue],C9)</f>
        <v>0</v>
      </c>
    </row>
    <row r="10" spans="3:12">
      <c r="C10" s="216"/>
      <c r="D10" s="4">
        <f>COUNTIF(tbl_xyml[Likely Issue],C10)</f>
        <v>0</v>
      </c>
      <c r="J10" s="7" t="s">
        <v>8</v>
      </c>
      <c r="K10" s="8" t="s">
        <v>2599</v>
      </c>
      <c r="L10" s="8" t="s">
        <v>3985</v>
      </c>
    </row>
    <row r="11" spans="3:12">
      <c r="C11" s="216"/>
      <c r="D11" s="4">
        <f>COUNTIF(tbl_xyml[Likely Issue],C11)</f>
        <v>0</v>
      </c>
      <c r="J11" s="4">
        <v>1</v>
      </c>
      <c r="K11" s="21" t="str">
        <f>HYPERLINK("obsidian://open?vault=o2&amp;file=Moving%20Checklist%20A%20Timeline%20for%20Your%20Upcoming%20Move%20%20Moving.com.md","Moving Checklist A Timeline for Your Upcoming Move  Moving.com")</f>
        <v>Moving Checklist A Timeline for Your Upcoming Move  Moving.com</v>
      </c>
      <c r="L11" s="20" t="s">
        <v>3981</v>
      </c>
    </row>
    <row r="12" spans="3:12">
      <c r="J12" s="4">
        <v>2</v>
      </c>
      <c r="K12" s="21" t="str">
        <f>HYPERLINK("obsidian://open?vault=o2&amp;file=60%20Best%20FREE%20Online%20Courses%20with%20Certificates%20%282023%29.md","60 Best FREE Online Courses with Certificates (2023)")</f>
        <v>60 Best FREE Online Courses with Certificates (2023)</v>
      </c>
      <c r="L12" s="20" t="s">
        <v>3981</v>
      </c>
    </row>
    <row r="13" spans="3:12">
      <c r="J13" s="4">
        <v>3</v>
      </c>
      <c r="K13" s="21" t="str">
        <f>HYPERLINK("obsidian://open?vault=o2&amp;file=Quick%20start%20guide%20cPanel%20%20WHM%20on%20Amazon%20Lightsail%20%20Lightsail%20Documentation.md","Quick start guide cPanel  WHM on Amazon Lightsail  Lightsail Documentation")</f>
        <v>Quick start guide cPanel  WHM on Amazon Lightsail  Lightsail Documentation</v>
      </c>
      <c r="L13" s="20" t="s">
        <v>3981</v>
      </c>
    </row>
    <row r="14" spans="3:12">
      <c r="J14" s="4">
        <v>4</v>
      </c>
      <c r="K14" s="21" t="str">
        <f>HYPERLINK("obsidian://open?vault=o2&amp;file=Unlimited%20Access%20to%20Medium%20Articles.md","Unlimited Access to Medium Articles")</f>
        <v>Unlimited Access to Medium Articles</v>
      </c>
      <c r="L14" s="20" t="s">
        <v>3981</v>
      </c>
    </row>
    <row r="15" spans="3:12">
      <c r="J15" s="4">
        <v>5</v>
      </c>
      <c r="K15" s="21" t="str">
        <f>HYPERLINK("obsidian://open?vault=o2&amp;file=Windows%20PowerToys.md","Windows PowerToys")</f>
        <v>Windows PowerToys</v>
      </c>
      <c r="L15" s="20" t="s">
        <v>3981</v>
      </c>
    </row>
    <row r="16" spans="3:12">
      <c r="J16" s="4">
        <v>6</v>
      </c>
      <c r="K16" s="21" t="str">
        <f>HYPERLINK("obsidian://open?vault=o2&amp;file=test.md","test")</f>
        <v>test</v>
      </c>
      <c r="L16" s="20" t="s">
        <v>3981</v>
      </c>
    </row>
    <row r="17" spans="3:12">
      <c r="J17" s="4">
        <v>7</v>
      </c>
      <c r="K17" s="21" t="str">
        <f>HYPERLINK("obsidian://open?vault=o2&amp;file=incl_Dailies.md","incl_Dailies")</f>
        <v>incl_Dailies</v>
      </c>
      <c r="L17" s="20" t="s">
        <v>3981</v>
      </c>
    </row>
    <row r="18" spans="3:12">
      <c r="J18" s="4">
        <v>8</v>
      </c>
      <c r="K18" s="21" t="str">
        <f>HYPERLINK("obsidian://open?vault=o2&amp;file=Thought%20Template.md","Thought Template")</f>
        <v>Thought Template</v>
      </c>
      <c r="L18" s="20" t="s">
        <v>3981</v>
      </c>
    </row>
    <row r="19" spans="3:12">
      <c r="J19" s="4">
        <v>9</v>
      </c>
      <c r="K19" s="21" t="str">
        <f>HYPERLINK("obsidian://open?vault=o2&amp;file=goodreads.md","goodreads")</f>
        <v>goodreads</v>
      </c>
      <c r="L19" s="20" t="s">
        <v>3981</v>
      </c>
    </row>
    <row r="20" spans="3:12">
      <c r="J20" s="4">
        <v>10</v>
      </c>
      <c r="K20" s="21" t="str">
        <f>HYPERLINK("obsidian://open?vault=o2&amp;file=imdb.md","imdb")</f>
        <v>imdb</v>
      </c>
      <c r="L20" s="20" t="s">
        <v>3981</v>
      </c>
    </row>
    <row r="21" spans="3:12" ht="15.5">
      <c r="C21" s="45" t="s">
        <v>22</v>
      </c>
      <c r="J21" s="4">
        <v>11</v>
      </c>
      <c r="K21" s="21" t="str">
        <f>HYPERLINK("obsidian://open?vault=o2&amp;file=letterboxd.md","letterboxd")</f>
        <v>letterboxd</v>
      </c>
      <c r="L21" s="20" t="s">
        <v>3981</v>
      </c>
    </row>
    <row r="22" spans="3:12">
      <c r="C22" s="2" t="s">
        <v>3987</v>
      </c>
      <c r="J22" s="4">
        <v>12</v>
      </c>
      <c r="K22" s="21" t="str">
        <f>HYPERLINK("obsidian://open?vault=o2&amp;file=odysee.md","odysee")</f>
        <v>odysee</v>
      </c>
      <c r="L22" s="20" t="s">
        <v>3981</v>
      </c>
    </row>
    <row r="23" spans="3:12">
      <c r="C23" s="2" t="s">
        <v>3988</v>
      </c>
      <c r="J23" s="4">
        <v>13</v>
      </c>
      <c r="K23" s="21" t="str">
        <f>HYPERLINK("obsidian://open?vault=o2&amp;file=website.md","website")</f>
        <v>website</v>
      </c>
      <c r="L23" s="20" t="s">
        <v>3981</v>
      </c>
    </row>
    <row r="24" spans="3:12">
      <c r="C24" s="2" t="s">
        <v>3989</v>
      </c>
      <c r="J24" s="4">
        <v>14</v>
      </c>
      <c r="K24" s="21" t="str">
        <f>HYPERLINK("obsidian://open?vault=o2&amp;file=wikipedia.md","wikipedia")</f>
        <v>wikipedia</v>
      </c>
      <c r="L24" s="20" t="s">
        <v>3981</v>
      </c>
    </row>
    <row r="25" spans="3:12">
      <c r="C25" s="2" t="s">
        <v>3990</v>
      </c>
      <c r="J25" s="4">
        <v>15</v>
      </c>
      <c r="K25" s="21" t="str">
        <f>HYPERLINK("obsidian://open?vault=o2&amp;file=youtube.md","youtube")</f>
        <v>youtube</v>
      </c>
      <c r="L25" s="20" t="s">
        <v>3981</v>
      </c>
    </row>
    <row r="26" spans="3:12">
      <c r="C26" s="2" t="s">
        <v>3991</v>
      </c>
      <c r="J26" s="4">
        <v>16</v>
      </c>
      <c r="K26" s="21" t="str">
        <f>HYPERLINK("obsidian://open?vault=o2&amp;file=MOC%20Template.md","MOC Template")</f>
        <v>MOC Template</v>
      </c>
      <c r="L26" s="20" t="s">
        <v>3981</v>
      </c>
    </row>
    <row r="27" spans="3:12">
      <c r="C27" s="2" t="s">
        <v>3992</v>
      </c>
      <c r="J27" s="4">
        <v>17</v>
      </c>
      <c r="K27" s="21" t="str">
        <f>HYPERLINK("obsidian://open?vault=o2&amp;file=newTaskTemplate.md","newTaskTemplate")</f>
        <v>newTaskTemplate</v>
      </c>
      <c r="L27" s="20" t="s">
        <v>3981</v>
      </c>
    </row>
    <row r="28" spans="3:12">
      <c r="J28" s="4">
        <v>18</v>
      </c>
      <c r="K28" s="21" t="str">
        <f>HYPERLINK("obsidian://open?vault=o2&amp;file=Monthly%20Review%20Template.md","Monthly Review Template")</f>
        <v>Monthly Review Template</v>
      </c>
      <c r="L28" s="20" t="s">
        <v>3981</v>
      </c>
    </row>
    <row r="29" spans="3:12">
      <c r="J29" s="4">
        <v>19</v>
      </c>
      <c r="K29" s="21" t="str">
        <f>HYPERLINK("obsidian://open?vault=o2&amp;file=Quarterly%20Review%20Template.md","Quarterly Review Template")</f>
        <v>Quarterly Review Template</v>
      </c>
      <c r="L29" s="20" t="s">
        <v>3981</v>
      </c>
    </row>
    <row r="30" spans="3:12">
      <c r="J30" s="4">
        <v>20</v>
      </c>
      <c r="K30" s="21" t="str">
        <f>HYPERLINK("obsidian://open?vault=o2&amp;file=Weekly%20Review%20Template.md","Weekly Review Template")</f>
        <v>Weekly Review Template</v>
      </c>
      <c r="L30" s="20" t="s">
        <v>3981</v>
      </c>
    </row>
    <row r="31" spans="3:12">
      <c r="J31" s="4">
        <v>21</v>
      </c>
      <c r="K31" s="21" t="str">
        <f>HYPERLINK("obsidian://open?vault=o2&amp;file=Yearly%20Review%20Template.md","Yearly Review Template")</f>
        <v>Yearly Review Template</v>
      </c>
      <c r="L31" s="20" t="s">
        <v>3981</v>
      </c>
    </row>
    <row r="32" spans="3:12">
      <c r="J32" s="4">
        <v>22</v>
      </c>
      <c r="K32" s="21" t="str">
        <f>HYPERLINK("obsidian://open?vault=o2&amp;file=default-misspellings.md","default-misspellings")</f>
        <v>default-misspellings</v>
      </c>
      <c r="L32" s="20" t="s">
        <v>3982</v>
      </c>
    </row>
    <row r="33" spans="10:12">
      <c r="J33" s="4">
        <v>23</v>
      </c>
      <c r="K33" s="21" t="str">
        <f>HYPERLINK("obsidian://open?vault=o2&amp;file=10th%20Step%20Daily%20Review.md","10th Step Daily Review")</f>
        <v>10th Step Daily Review</v>
      </c>
      <c r="L33" s="20" t="s">
        <v>3982</v>
      </c>
    </row>
    <row r="34" spans="10:12">
      <c r="J34" s="4">
        <v>24</v>
      </c>
      <c r="K34" s="21" t="str">
        <f>HYPERLINK("obsidian://open?vault=o2&amp;file=BRAT-log.md","BRAT-log")</f>
        <v>BRAT-log</v>
      </c>
      <c r="L34" s="20" t="s">
        <v>3982</v>
      </c>
    </row>
    <row r="35" spans="10:12">
      <c r="J35" s="4">
        <v>25</v>
      </c>
      <c r="K35" s="21" t="str">
        <f>HYPERLINK("obsidian://open?vault=o2&amp;file=HotkeysMenu.md","HotkeysMenu")</f>
        <v>HotkeysMenu</v>
      </c>
      <c r="L35" s="20" t="s">
        <v>3982</v>
      </c>
    </row>
    <row r="36" spans="10:12">
      <c r="J36" s="4">
        <v>26</v>
      </c>
      <c r="K36" s="21" t="str">
        <f>HYPERLINK("obsidian://open?vault=o2&amp;file=lov_Politics.md","lov_Politics")</f>
        <v>lov_Politics</v>
      </c>
      <c r="L36" s="20" t="s">
        <v>3982</v>
      </c>
    </row>
    <row r="37" spans="10:12">
      <c r="J37" s="4">
        <v>27</v>
      </c>
      <c r="K37" s="21" t="str">
        <f>HYPERLINK("obsidian://open?vault=o2&amp;file=lov_SunSigns.md","lov_SunSigns")</f>
        <v>lov_SunSigns</v>
      </c>
      <c r="L37" s="20" t="s">
        <v>3982</v>
      </c>
    </row>
    <row r="38" spans="10:12">
      <c r="J38" s="4">
        <v>28</v>
      </c>
      <c r="K38" s="21" t="str">
        <f>HYPERLINK("obsidian://open?vault=o2&amp;file=lov_meetings.md","lov_meetings")</f>
        <v>lov_meetings</v>
      </c>
      <c r="L38" s="20" t="s">
        <v>3982</v>
      </c>
    </row>
    <row r="39" spans="10:12">
      <c r="J39" s="4">
        <v>29</v>
      </c>
      <c r="K39" s="21" t="str">
        <f>HYPERLINK("obsidian://open?vault=o2&amp;file=lov_personTypes.md","lov_personTypes")</f>
        <v>lov_personTypes</v>
      </c>
      <c r="L39" s="20" t="s">
        <v>3982</v>
      </c>
    </row>
    <row r="40" spans="10:12">
      <c r="J40" s="4">
        <v>30</v>
      </c>
      <c r="K40" s="21" t="str">
        <f>HYPERLINK("obsidian://open?vault=o2&amp;file=personMeetingLocs.md","personMeetingLocs")</f>
        <v>personMeetingLocs</v>
      </c>
      <c r="L40" s="20" t="s">
        <v>3982</v>
      </c>
    </row>
    <row r="41" spans="10:12">
      <c r="J41" s="4">
        <v>31</v>
      </c>
      <c r="K41" s="21" t="str">
        <f>HYPERLINK("obsidian://open?vault=o2&amp;file=setStatus.md","setStatus")</f>
        <v>setStatus</v>
      </c>
      <c r="L41" s="20" t="s">
        <v>3982</v>
      </c>
    </row>
    <row r="42" spans="10:12">
      <c r="J42" s="4">
        <v>32</v>
      </c>
      <c r="K42" s="21" t="str">
        <f>HYPERLINK("obsidian://open?vault=o2&amp;file=References.md","References")</f>
        <v>References</v>
      </c>
      <c r="L42" s="20" t="s">
        <v>3982</v>
      </c>
    </row>
    <row r="43" spans="10:12">
      <c r="J43" s="4">
        <v>33</v>
      </c>
      <c r="K43" s="21" t="str">
        <f>HYPERLINK("obsidian://open?vault=o2&amp;file=Applied%20Brainstorming%20Addon.md","Applied Brainstorming Addon")</f>
        <v>Applied Brainstorming Addon</v>
      </c>
      <c r="L43" s="20" t="s">
        <v>3982</v>
      </c>
    </row>
    <row r="44" spans="10:12">
      <c r="J44" s="4">
        <v>34</v>
      </c>
      <c r="K44" s="21" t="str">
        <f>HYPERLINK("obsidian://open?vault=o2&amp;file=Progressive%20Summarization%20Checklist%20Addon.md","Progressive Summarization Checklist Addon")</f>
        <v>Progressive Summarization Checklist Addon</v>
      </c>
      <c r="L44" s="20" t="s">
        <v>3982</v>
      </c>
    </row>
    <row r="45" spans="10:12">
      <c r="J45" s="4">
        <v>35</v>
      </c>
      <c r="K45" s="21" t="str">
        <f>HYPERLINK("obsidian://open?vault=o2&amp;file=incl_FrontMatter.md","incl_FrontMatter")</f>
        <v>incl_FrontMatter</v>
      </c>
      <c r="L45" s="20" t="s">
        <v>3982</v>
      </c>
    </row>
    <row r="46" spans="10:12">
      <c r="J46" s="4">
        <v>36</v>
      </c>
      <c r="K46" s="21" t="str">
        <f>HYPERLINK("obsidian://open?vault=o2&amp;file=incl_Note%20Metadata.md","incl_Note Metadata")</f>
        <v>incl_Note Metadata</v>
      </c>
      <c r="L46" s="20" t="s">
        <v>3982</v>
      </c>
    </row>
    <row r="47" spans="10:12">
      <c r="J47" s="4">
        <v>37</v>
      </c>
      <c r="K47" s="21" t="str">
        <f>HYPERLINK("obsidian://open?vault=o2&amp;file=incl_Observations.md","incl_Observations")</f>
        <v>incl_Observations</v>
      </c>
      <c r="L47" s="20" t="s">
        <v>3982</v>
      </c>
    </row>
    <row r="48" spans="10:12">
      <c r="J48" s="4">
        <v>38</v>
      </c>
      <c r="K48" s="21" t="str">
        <f>HYPERLINK("obsidian://open?vault=o2&amp;file=incl_SoberCalc.md","incl_SoberCalc")</f>
        <v>incl_SoberCalc</v>
      </c>
      <c r="L48" s="20" t="s">
        <v>3982</v>
      </c>
    </row>
    <row r="49" spans="10:12">
      <c r="J49" s="4">
        <v>39</v>
      </c>
      <c r="K49" s="21" t="str">
        <f>HYPERLINK("obsidian://open?vault=o2&amp;file=incl_quotes.md","incl_quotes")</f>
        <v>incl_quotes</v>
      </c>
      <c r="L49" s="20" t="s">
        <v>3982</v>
      </c>
    </row>
    <row r="50" spans="10:12">
      <c r="J50" s="4">
        <v>40</v>
      </c>
      <c r="K50" s="21" t="str">
        <f>HYPERLINK("obsidian://open?vault=o2&amp;file=Book%20Notes%20Template.md","Book Notes Template")</f>
        <v>Book Notes Template</v>
      </c>
      <c r="L50" s="20" t="s">
        <v>3982</v>
      </c>
    </row>
    <row r="51" spans="10:12">
      <c r="J51" s="4">
        <v>41</v>
      </c>
      <c r="K51" s="21" t="str">
        <f>HYPERLINK("obsidian://open?vault=o2&amp;file=D.md","D")</f>
        <v>D</v>
      </c>
      <c r="L51" s="20" t="s">
        <v>3982</v>
      </c>
    </row>
    <row r="52" spans="10:12">
      <c r="J52" s="4">
        <v>42</v>
      </c>
      <c r="K52" s="21" t="str">
        <f>HYPERLINK("obsidian://open?vault=o2&amp;file=incl_metaFrontMatter.md","incl_metaFrontMatter")</f>
        <v>incl_metaFrontMatter</v>
      </c>
      <c r="L52" s="20" t="s">
        <v>3982</v>
      </c>
    </row>
    <row r="53" spans="10:12">
      <c r="J53" s="4">
        <v>43</v>
      </c>
      <c r="K53" s="21" t="str">
        <f>HYPERLINK("obsidian://open?vault=o2&amp;file=metaCatchAllTemplate.md","metaCatchAllTemplate")</f>
        <v>metaCatchAllTemplate</v>
      </c>
      <c r="L53" s="20" t="s">
        <v>3982</v>
      </c>
    </row>
    <row r="54" spans="10:12">
      <c r="J54" s="4">
        <v>44</v>
      </c>
      <c r="K54" s="21" t="str">
        <f>HYPERLINK("obsidian://open?vault=o2&amp;file=metaCatchAll_bup.md","metaCatchAll_bup")</f>
        <v>metaCatchAll_bup</v>
      </c>
      <c r="L54" s="20" t="s">
        <v>3982</v>
      </c>
    </row>
    <row r="55" spans="10:12">
      <c r="J55" s="4">
        <v>45</v>
      </c>
      <c r="K55" s="21" t="str">
        <f>HYPERLINK("obsidian://open?vault=o2&amp;file=DailyJournals%20Addon.md","DailyJournals Addon")</f>
        <v>DailyJournals Addon</v>
      </c>
      <c r="L55" s="20" t="s">
        <v>3982</v>
      </c>
    </row>
    <row r="56" spans="10:12">
      <c r="J56" s="4">
        <v>46</v>
      </c>
      <c r="K56" s="21" t="str">
        <f>HYPERLINK("obsidian://open?vault=o2&amp;file=DailyReflections%20Addon.md","DailyReflections Addon")</f>
        <v>DailyReflections Addon</v>
      </c>
      <c r="L56" s="20" t="s">
        <v>3982</v>
      </c>
    </row>
    <row r="57" spans="10:12">
      <c r="J57" s="4">
        <v>47</v>
      </c>
      <c r="K57" s="21" t="str">
        <f>HYPERLINK("obsidian://open?vault=o2&amp;file=Focus%20Area%20Addon.md","Focus Area Addon")</f>
        <v>Focus Area Addon</v>
      </c>
      <c r="L57" s="20" t="s">
        <v>3982</v>
      </c>
    </row>
    <row r="58" spans="10:12">
      <c r="J58" s="4">
        <v>48</v>
      </c>
      <c r="K58" s="21" t="str">
        <f>HYPERLINK("obsidian://open?vault=o2&amp;file=Hover%20Icons%20for%20Headers%20Addon.md","Hover Icons for Headers Addon")</f>
        <v>Hover Icons for Headers Addon</v>
      </c>
      <c r="L58" s="20" t="s">
        <v>3982</v>
      </c>
    </row>
    <row r="59" spans="10:12">
      <c r="J59" s="4">
        <v>49</v>
      </c>
      <c r="K59" s="21" t="str">
        <f>HYPERLINK("obsidian://open?vault=o2&amp;file=Life%20Review%20Table%20Addon.md","Life Review Table Addon")</f>
        <v>Life Review Table Addon</v>
      </c>
      <c r="L59" s="20" t="s">
        <v>3982</v>
      </c>
    </row>
    <row r="60" spans="10:12">
      <c r="J60" s="4">
        <v>50</v>
      </c>
      <c r="K60" s="21" t="str">
        <f>HYPERLINK("obsidian://open?vault=o2&amp;file=Reflection%20Addon.md","Reflection Addon")</f>
        <v>Reflection Addon</v>
      </c>
      <c r="L60" s="20" t="s">
        <v>3982</v>
      </c>
    </row>
    <row r="61" spans="10:12">
      <c r="J61" s="4">
        <v>51</v>
      </c>
      <c r="K61" s="21" t="str">
        <f>HYPERLINK("obsidian://open?vault=o2&amp;file=Kanban%20Card%20Template.md","Kanban Card Template")</f>
        <v>Kanban Card Template</v>
      </c>
      <c r="L61" s="20" t="s">
        <v>3982</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01513"/>
  </sheetPr>
  <dimension ref="A2:T24"/>
  <sheetViews>
    <sheetView showGridLines="0" workbookViewId="0">
      <selection sqref="A1:A1048576"/>
    </sheetView>
  </sheetViews>
  <sheetFormatPr defaultRowHeight="15"/>
  <cols>
    <col min="1" max="1" width="9.23046875" style="260"/>
    <col min="3" max="3" width="28" customWidth="1"/>
    <col min="4" max="4" width="12" customWidth="1"/>
    <col min="10" max="10" width="8" customWidth="1"/>
    <col min="11" max="11" width="35" customWidth="1"/>
    <col min="12" max="12" width="8" customWidth="1"/>
    <col min="13" max="13" width="25" customWidth="1"/>
    <col min="14" max="14" width="1.07421875" customWidth="1"/>
    <col min="15" max="15" width="25" customWidth="1"/>
    <col min="16" max="16" width="1.07421875" customWidth="1"/>
    <col min="17" max="17" width="25" customWidth="1"/>
    <col min="18" max="18" width="1.07421875" customWidth="1"/>
    <col min="19" max="19" width="25" customWidth="1"/>
    <col min="20" max="20" width="1.07421875" customWidth="1"/>
  </cols>
  <sheetData>
    <row r="2" spans="3:20" ht="29.5">
      <c r="C2" s="1" t="s">
        <v>3993</v>
      </c>
    </row>
    <row r="3" spans="3:20">
      <c r="C3" s="2" t="s">
        <v>3994</v>
      </c>
    </row>
    <row r="4" spans="3:20">
      <c r="C4" s="2" t="s">
        <v>3995</v>
      </c>
    </row>
    <row r="10" spans="3:20" ht="18">
      <c r="C10" s="6" t="s">
        <v>0</v>
      </c>
      <c r="D10" s="7" t="s">
        <v>5</v>
      </c>
      <c r="J10" s="7" t="s">
        <v>8</v>
      </c>
      <c r="K10" s="8" t="s">
        <v>3996</v>
      </c>
      <c r="L10" s="7" t="s">
        <v>3997</v>
      </c>
      <c r="M10" s="46" t="s">
        <v>3998</v>
      </c>
      <c r="N10" s="13" t="s">
        <v>145</v>
      </c>
      <c r="O10" s="46" t="s">
        <v>3999</v>
      </c>
      <c r="P10" s="13" t="s">
        <v>147</v>
      </c>
      <c r="Q10" s="46" t="s">
        <v>4000</v>
      </c>
      <c r="R10" s="13" t="s">
        <v>149</v>
      </c>
      <c r="S10" s="46" t="s">
        <v>4001</v>
      </c>
      <c r="T10" s="13" t="s">
        <v>151</v>
      </c>
    </row>
    <row r="11" spans="3:20">
      <c r="C11" s="27" t="s">
        <v>3996</v>
      </c>
      <c r="D11" s="4">
        <f>COUNTA(tbl_dups[Duplicate Notes])</f>
        <v>4</v>
      </c>
      <c r="J11" s="4">
        <v>1</v>
      </c>
      <c r="K11" s="21" t="str">
        <f>HYPERLINK("obsidian://open?vault=o2&amp;file=2025-03-14.md","2025-03-14")</f>
        <v>2025-03-14</v>
      </c>
      <c r="L11" s="2">
        <v>2</v>
      </c>
      <c r="M11" s="21" t="str">
        <f>HYPERLINK("obsidian://open?vault=o2&amp;file=6-Journal%5CdailyNotes%5C2025-03-14.md","6-Journal\dailyNotes\2025-03-14")</f>
        <v>6-Journal\dailyNotes\2025-03-14</v>
      </c>
      <c r="N11" s="11" t="s">
        <v>175</v>
      </c>
      <c r="O11" s="21" t="str">
        <f>HYPERLINK("obsidian://open?vault=o2&amp;file=dailyNotes%5C2025-03-14.md","dailyNotes\2025-03-14")</f>
        <v>dailyNotes\2025-03-14</v>
      </c>
      <c r="P11" s="11" t="s">
        <v>175</v>
      </c>
    </row>
    <row r="12" spans="3:20">
      <c r="C12" s="27" t="s">
        <v>4002</v>
      </c>
      <c r="D12" s="4">
        <f>SUM(tbl_dups[Dups Found])</f>
        <v>8</v>
      </c>
      <c r="J12" s="4">
        <v>2</v>
      </c>
      <c r="K12" s="21" t="str">
        <f>HYPERLINK("obsidian://open?vault=o2&amp;file=22%20FREE%20Windows%20Utilities%20EVERY%20User%20MUST%20Know%20About%21.md","22 FREE Windows Utilities EVERY User MUST Know About!")</f>
        <v>22 FREE Windows Utilities EVERY User MUST Know About!</v>
      </c>
      <c r="L12" s="2">
        <v>2</v>
      </c>
      <c r="M12" s="21" t="str">
        <f>HYPERLINK("obsidian://open?vault=o2&amp;file=3-Resources%5Cwebpages%5C22%20FREE%20Windows%20Utilities%20EVERY%20User%20MUST%20Know%20About%21.md","3-Resources\webpages\22 FREE Windows Utilities EVERY User MUST Know About!")</f>
        <v>3-Resources\webpages\22 FREE Windows Utilities EVERY User MUST Know About!</v>
      </c>
      <c r="N12" s="11" t="s">
        <v>175</v>
      </c>
      <c r="O12" s="21" t="str">
        <f>HYPERLINK("obsidian://open?vault=o2&amp;file=3-Resources%5CYouTube%5C22%20FREE%20Windows%20Utilities%20EVERY%20User%20MUST%20Know%20About%21.md","3-Resources\YouTube\22 FREE Windows Utilities EVERY User MUST Know About!")</f>
        <v>3-Resources\YouTube\22 FREE Windows Utilities EVERY User MUST Know About!</v>
      </c>
      <c r="P12" s="11" t="s">
        <v>175</v>
      </c>
    </row>
    <row r="13" spans="3:20">
      <c r="J13" s="4">
        <v>3</v>
      </c>
      <c r="K13" s="21" t="str">
        <f>HYPERLINK("obsidian://open?vault=o2&amp;file=Firefox%20Privacy%20Settings.md","Firefox Privacy Settings")</f>
        <v>Firefox Privacy Settings</v>
      </c>
      <c r="L13" s="2">
        <v>2</v>
      </c>
      <c r="M13" s="21" t="str">
        <f>HYPERLINK("obsidian://open?vault=o2&amp;file=3-Resources%5C%F0%9F%A6%8B%20Coding%5CFirefox%20Privacy%20Settings.md","3-Resources\🦋 Coding\Firefox Privacy Settings")</f>
        <v>3-Resources\🦋 Coding\Firefox Privacy Settings</v>
      </c>
      <c r="N13" s="11" t="s">
        <v>175</v>
      </c>
      <c r="O13" s="21" t="str">
        <f>HYPERLINK("obsidian://open?vault=o2&amp;file=3-Resources%5C%F0%9F%A6%8B%20Computers%5CFirefox%20Privacy%20Settings.md","3-Resources\🦋 Computers\Firefox Privacy Settings")</f>
        <v>3-Resources\🦋 Computers\Firefox Privacy Settings</v>
      </c>
      <c r="P13" s="11" t="s">
        <v>175</v>
      </c>
    </row>
    <row r="14" spans="3:20">
      <c r="J14" s="4">
        <v>4</v>
      </c>
      <c r="K14" s="21" t="str">
        <f>HYPERLINK("obsidian://open?vault=o2&amp;file=Terminal%20Color%20Escape%20Sequences.md","Terminal Color Escape Sequences")</f>
        <v>Terminal Color Escape Sequences</v>
      </c>
      <c r="L14" s="2">
        <v>2</v>
      </c>
      <c r="M14" s="21" t="str">
        <f>HYPERLINK("obsidian://open?vault=o2&amp;file=3-Resources%5C%F0%9F%A6%8B%20Coding%5CTerminal%20Color%20Escape%20Sequences.md","3-Resources\🦋 Coding\Terminal Color Escape Sequences")</f>
        <v>3-Resources\🦋 Coding\Terminal Color Escape Sequences</v>
      </c>
      <c r="N14" s="11" t="s">
        <v>175</v>
      </c>
      <c r="O14" s="21" t="str">
        <f>HYPERLINK("obsidian://open?vault=o2&amp;file=3-Resources%5C%F0%9F%A6%8B%20Computers%5CTerminal%20Color%20Escape%20Sequences.md","3-Resources\🦋 Computers\Terminal Color Escape Sequences")</f>
        <v>3-Resources\🦋 Computers\Terminal Color Escape Sequences</v>
      </c>
      <c r="P14" s="11" t="s">
        <v>175</v>
      </c>
    </row>
    <row r="21" spans="3:3" ht="15.5">
      <c r="C21" s="45" t="s">
        <v>22</v>
      </c>
    </row>
    <row r="22" spans="3:3">
      <c r="C22" s="2" t="s">
        <v>4003</v>
      </c>
    </row>
    <row r="23" spans="3:3">
      <c r="C23" s="2" t="s">
        <v>4004</v>
      </c>
    </row>
    <row r="24" spans="3:3">
      <c r="C24" s="2" t="s">
        <v>4005</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6B729"/>
  </sheetPr>
  <dimension ref="A2:P173"/>
  <sheetViews>
    <sheetView showGridLines="0" workbookViewId="0">
      <selection activeCell="C22" sqref="C22"/>
    </sheetView>
  </sheetViews>
  <sheetFormatPr defaultRowHeight="15"/>
  <cols>
    <col min="1" max="1" width="9.23046875" style="260"/>
    <col min="3" max="3" width="32" customWidth="1"/>
    <col min="10" max="10" width="8" customWidth="1"/>
    <col min="11" max="13" width="30" customWidth="1"/>
    <col min="14" max="14" width="8" customWidth="1"/>
    <col min="15" max="15" width="40" customWidth="1"/>
    <col min="16" max="16" width="1.07421875" customWidth="1"/>
  </cols>
  <sheetData>
    <row r="2" spans="3:16" ht="29.5">
      <c r="C2" s="47" t="s">
        <v>4006</v>
      </c>
    </row>
    <row r="3" spans="3:16">
      <c r="C3" s="2" t="s">
        <v>4007</v>
      </c>
    </row>
    <row r="4" spans="3:16">
      <c r="C4" s="2" t="s">
        <v>4008</v>
      </c>
    </row>
    <row r="5" spans="3:16" ht="18">
      <c r="C5" s="48" t="s">
        <v>0</v>
      </c>
      <c r="D5" s="49" t="s">
        <v>140</v>
      </c>
      <c r="E5" s="49" t="s">
        <v>141</v>
      </c>
    </row>
    <row r="6" spans="3:16" ht="15.5">
      <c r="C6" s="50" t="s">
        <v>4009</v>
      </c>
      <c r="D6" s="4">
        <f>COUNTA(_xlfn.UNIQUE(_xlfn._xlws.FILTER(tbl_nest[Plug-in],tbl_nest[IsVisible])))</f>
        <v>2</v>
      </c>
      <c r="E6" s="4">
        <f>_xlfn.AGGREGATE(3,3,tbl_nest[Plug-in])</f>
        <v>163</v>
      </c>
    </row>
    <row r="7" spans="3:16" ht="15.5">
      <c r="C7" s="50" t="s">
        <v>2603</v>
      </c>
      <c r="D7" s="4">
        <f>COUNTA(_xlfn.UNIQUE(_xlfn._xlws.FILTER(tbl_nest[ValCount],tbl_nest[IsVisible])))</f>
        <v>9</v>
      </c>
      <c r="E7" s="4">
        <f>COUNTA(tbl_nest[ValCount])</f>
        <v>163</v>
      </c>
    </row>
    <row r="8" spans="3:16" ht="15.5">
      <c r="K8" s="5" t="str">
        <f>IFERROR(IF(_xlfn.AGGREGATE(3,3,tbl_nest[ValCount])&lt;&gt;SUM(tbl_nest[IsVisible]),"Properties w/Empty Values Detected!",""),"")</f>
        <v/>
      </c>
    </row>
    <row r="10" spans="3:16">
      <c r="J10" s="51" t="s">
        <v>8</v>
      </c>
      <c r="K10" s="52" t="s">
        <v>4009</v>
      </c>
      <c r="L10" s="52" t="s">
        <v>4010</v>
      </c>
      <c r="M10" s="52" t="s">
        <v>142</v>
      </c>
      <c r="N10" s="52" t="s">
        <v>2603</v>
      </c>
      <c r="O10" s="52" t="s">
        <v>4011</v>
      </c>
      <c r="P10" s="53" t="s">
        <v>9</v>
      </c>
    </row>
    <row r="11" spans="3:16">
      <c r="J11" s="4">
        <v>1</v>
      </c>
      <c r="K11" s="20" t="s">
        <v>4012</v>
      </c>
      <c r="L11" s="21" t="str">
        <f t="shared" ref="L11:L17" si="0">HYPERLINK("obsidian://open?vault=o2&amp;file=Dyke-A%20Text-Book%20of%20the%20History%20of%20Painting.md","Dyke-A Text-Book of the History of Painting")</f>
        <v>Dyke-A Text-Book of the History of Painting</v>
      </c>
      <c r="M11" s="2" t="s">
        <v>2917</v>
      </c>
      <c r="N11" s="4">
        <v>1</v>
      </c>
      <c r="O11" s="2"/>
      <c r="P11" s="11">
        <f>SUBTOTAL(3,_xlfn.SINGLE(tbl_nest[RowId]))</f>
        <v>1</v>
      </c>
    </row>
    <row r="12" spans="3:16">
      <c r="J12" s="4">
        <v>2</v>
      </c>
      <c r="K12" s="20" t="s">
        <v>4012</v>
      </c>
      <c r="L12" s="21" t="str">
        <f t="shared" si="0"/>
        <v>Dyke-A Text-Book of the History of Painting</v>
      </c>
      <c r="M12" s="2" t="s">
        <v>2919</v>
      </c>
      <c r="N12" s="4">
        <v>1</v>
      </c>
      <c r="O12" s="2"/>
      <c r="P12" s="11">
        <f>SUBTOTAL(3,_xlfn.SINGLE(tbl_nest[RowId]))</f>
        <v>1</v>
      </c>
    </row>
    <row r="13" spans="3:16" ht="15.5">
      <c r="C13" s="5" t="str">
        <f>IFERROR(IF(COUNTA(tbl_nest[RowId])&lt;&gt;SUM(tbl_nest[IsVisible]),"Column filters applied--Totals now reflect column filters!",""),"")</f>
        <v/>
      </c>
      <c r="J13" s="4">
        <v>3</v>
      </c>
      <c r="K13" s="20" t="s">
        <v>4012</v>
      </c>
      <c r="L13" s="21" t="str">
        <f t="shared" si="0"/>
        <v>Dyke-A Text-Book of the History of Painting</v>
      </c>
      <c r="M13" s="2" t="s">
        <v>2921</v>
      </c>
      <c r="N13" s="4">
        <v>1</v>
      </c>
      <c r="O13" s="2"/>
      <c r="P13" s="11">
        <f>SUBTOTAL(3,_xlfn.SINGLE(tbl_nest[RowId]))</f>
        <v>1</v>
      </c>
    </row>
    <row r="14" spans="3:16">
      <c r="J14" s="4">
        <v>4</v>
      </c>
      <c r="K14" s="20" t="s">
        <v>4012</v>
      </c>
      <c r="L14" s="21" t="str">
        <f t="shared" si="0"/>
        <v>Dyke-A Text-Book of the History of Painting</v>
      </c>
      <c r="M14" s="2" t="s">
        <v>2924</v>
      </c>
      <c r="N14" s="4">
        <v>1</v>
      </c>
      <c r="O14" s="2"/>
      <c r="P14" s="11">
        <f>SUBTOTAL(3,_xlfn.SINGLE(tbl_nest[RowId]))</f>
        <v>1</v>
      </c>
    </row>
    <row r="15" spans="3:16">
      <c r="J15" s="4">
        <v>5</v>
      </c>
      <c r="K15" s="20" t="s">
        <v>4012</v>
      </c>
      <c r="L15" s="21" t="str">
        <f t="shared" si="0"/>
        <v>Dyke-A Text-Book of the History of Painting</v>
      </c>
      <c r="M15" s="2" t="s">
        <v>2927</v>
      </c>
      <c r="N15" s="4">
        <v>1</v>
      </c>
      <c r="O15" s="2"/>
      <c r="P15" s="11">
        <f>SUBTOTAL(3,_xlfn.SINGLE(tbl_nest[RowId]))</f>
        <v>1</v>
      </c>
    </row>
    <row r="16" spans="3:16">
      <c r="J16" s="4">
        <v>6</v>
      </c>
      <c r="K16" s="20" t="s">
        <v>4012</v>
      </c>
      <c r="L16" s="21" t="str">
        <f t="shared" si="0"/>
        <v>Dyke-A Text-Book of the History of Painting</v>
      </c>
      <c r="M16" s="2" t="s">
        <v>2930</v>
      </c>
      <c r="N16" s="4">
        <v>1</v>
      </c>
      <c r="O16" s="2"/>
      <c r="P16" s="11">
        <f>SUBTOTAL(3,_xlfn.SINGLE(tbl_nest[RowId]))</f>
        <v>1</v>
      </c>
    </row>
    <row r="17" spans="3:16">
      <c r="J17" s="4">
        <v>7</v>
      </c>
      <c r="K17" s="20" t="s">
        <v>4012</v>
      </c>
      <c r="L17" s="21" t="str">
        <f t="shared" si="0"/>
        <v>Dyke-A Text-Book of the History of Painting</v>
      </c>
      <c r="M17" s="2" t="s">
        <v>2933</v>
      </c>
      <c r="N17" s="4">
        <v>1</v>
      </c>
      <c r="O17" s="2"/>
      <c r="P17" s="11">
        <f>SUBTOTAL(3,_xlfn.SINGLE(tbl_nest[RowId]))</f>
        <v>1</v>
      </c>
    </row>
    <row r="18" spans="3:16">
      <c r="J18" s="4">
        <v>8</v>
      </c>
      <c r="K18" s="20" t="s">
        <v>4012</v>
      </c>
      <c r="L18" s="21" t="str">
        <f t="shared" ref="L18:L24" si="1">HYPERLINK("obsidian://open?vault=o2&amp;file=Forte-Building%20a%20Second%20Brain-1707061423967.md","Forte-Building a Second Brain-1707061423967")</f>
        <v>Forte-Building a Second Brain-1707061423967</v>
      </c>
      <c r="M18" s="2" t="s">
        <v>2917</v>
      </c>
      <c r="N18" s="4">
        <v>1</v>
      </c>
      <c r="O18" s="2"/>
      <c r="P18" s="11">
        <f>SUBTOTAL(3,_xlfn.SINGLE(tbl_nest[RowId]))</f>
        <v>1</v>
      </c>
    </row>
    <row r="19" spans="3:16">
      <c r="J19" s="4">
        <v>9</v>
      </c>
      <c r="K19" s="20" t="s">
        <v>4012</v>
      </c>
      <c r="L19" s="21" t="str">
        <f t="shared" si="1"/>
        <v>Forte-Building a Second Brain-1707061423967</v>
      </c>
      <c r="M19" s="2" t="s">
        <v>2919</v>
      </c>
      <c r="N19" s="4">
        <v>1</v>
      </c>
      <c r="O19" s="2"/>
      <c r="P19" s="11">
        <f>SUBTOTAL(3,_xlfn.SINGLE(tbl_nest[RowId]))</f>
        <v>1</v>
      </c>
    </row>
    <row r="20" spans="3:16">
      <c r="J20" s="4">
        <v>10</v>
      </c>
      <c r="K20" s="20" t="s">
        <v>4012</v>
      </c>
      <c r="L20" s="21" t="str">
        <f t="shared" si="1"/>
        <v>Forte-Building a Second Brain-1707061423967</v>
      </c>
      <c r="M20" s="2" t="s">
        <v>2921</v>
      </c>
      <c r="N20" s="4">
        <v>1</v>
      </c>
      <c r="O20" s="2"/>
      <c r="P20" s="11">
        <f>SUBTOTAL(3,_xlfn.SINGLE(tbl_nest[RowId]))</f>
        <v>1</v>
      </c>
    </row>
    <row r="21" spans="3:16">
      <c r="C21" s="52" t="s">
        <v>22</v>
      </c>
      <c r="J21" s="4">
        <v>11</v>
      </c>
      <c r="K21" s="20" t="s">
        <v>4012</v>
      </c>
      <c r="L21" s="21" t="str">
        <f t="shared" si="1"/>
        <v>Forte-Building a Second Brain-1707061423967</v>
      </c>
      <c r="M21" s="2" t="s">
        <v>2924</v>
      </c>
      <c r="N21" s="4">
        <v>1</v>
      </c>
      <c r="O21" s="2"/>
      <c r="P21" s="11">
        <f>SUBTOTAL(3,_xlfn.SINGLE(tbl_nest[RowId]))</f>
        <v>1</v>
      </c>
    </row>
    <row r="22" spans="3:16">
      <c r="C22" s="2" t="s">
        <v>4013</v>
      </c>
      <c r="J22" s="4">
        <v>12</v>
      </c>
      <c r="K22" s="20" t="s">
        <v>4012</v>
      </c>
      <c r="L22" s="21" t="str">
        <f t="shared" si="1"/>
        <v>Forte-Building a Second Brain-1707061423967</v>
      </c>
      <c r="M22" s="2" t="s">
        <v>2927</v>
      </c>
      <c r="N22" s="4">
        <v>1</v>
      </c>
      <c r="O22" s="2"/>
      <c r="P22" s="11">
        <f>SUBTOTAL(3,_xlfn.SINGLE(tbl_nest[RowId]))</f>
        <v>1</v>
      </c>
    </row>
    <row r="23" spans="3:16">
      <c r="C23" s="2" t="s">
        <v>4014</v>
      </c>
      <c r="J23" s="4">
        <v>13</v>
      </c>
      <c r="K23" s="20" t="s">
        <v>4012</v>
      </c>
      <c r="L23" s="21" t="str">
        <f t="shared" si="1"/>
        <v>Forte-Building a Second Brain-1707061423967</v>
      </c>
      <c r="M23" s="2" t="s">
        <v>2930</v>
      </c>
      <c r="N23" s="4">
        <v>1</v>
      </c>
      <c r="O23" s="2"/>
      <c r="P23" s="11">
        <f>SUBTOTAL(3,_xlfn.SINGLE(tbl_nest[RowId]))</f>
        <v>1</v>
      </c>
    </row>
    <row r="24" spans="3:16">
      <c r="C24" s="2" t="s">
        <v>4015</v>
      </c>
      <c r="J24" s="4">
        <v>14</v>
      </c>
      <c r="K24" s="20" t="s">
        <v>4012</v>
      </c>
      <c r="L24" s="21" t="str">
        <f t="shared" si="1"/>
        <v>Forte-Building a Second Brain-1707061423967</v>
      </c>
      <c r="M24" s="2" t="s">
        <v>2933</v>
      </c>
      <c r="N24" s="4">
        <v>1</v>
      </c>
      <c r="O24" s="2"/>
      <c r="P24" s="11">
        <f>SUBTOTAL(3,_xlfn.SINGLE(tbl_nest[RowId]))</f>
        <v>1</v>
      </c>
    </row>
    <row r="25" spans="3:16">
      <c r="C25" s="2" t="s">
        <v>4016</v>
      </c>
      <c r="J25" s="4">
        <v>15</v>
      </c>
      <c r="K25" s="20" t="s">
        <v>4012</v>
      </c>
      <c r="L25" s="21" t="str">
        <f t="shared" ref="L25:L31" si="2">HYPERLINK("obsidian://open?vault=o2&amp;file=Forte-Building%20a%20Second%20Brain.md","Forte-Building a Second Brain")</f>
        <v>Forte-Building a Second Brain</v>
      </c>
      <c r="M25" s="2" t="s">
        <v>2917</v>
      </c>
      <c r="N25" s="4">
        <v>1</v>
      </c>
      <c r="O25" s="2"/>
      <c r="P25" s="11">
        <f>SUBTOTAL(3,_xlfn.SINGLE(tbl_nest[RowId]))</f>
        <v>1</v>
      </c>
    </row>
    <row r="26" spans="3:16">
      <c r="C26" s="2" t="s">
        <v>4017</v>
      </c>
      <c r="J26" s="4">
        <v>16</v>
      </c>
      <c r="K26" s="20" t="s">
        <v>4012</v>
      </c>
      <c r="L26" s="21" t="str">
        <f t="shared" si="2"/>
        <v>Forte-Building a Second Brain</v>
      </c>
      <c r="M26" s="2" t="s">
        <v>2919</v>
      </c>
      <c r="N26" s="4">
        <v>1</v>
      </c>
      <c r="O26" s="2"/>
      <c r="P26" s="11">
        <f>SUBTOTAL(3,_xlfn.SINGLE(tbl_nest[RowId]))</f>
        <v>1</v>
      </c>
    </row>
    <row r="27" spans="3:16">
      <c r="C27" s="2" t="s">
        <v>4018</v>
      </c>
      <c r="J27" s="4">
        <v>17</v>
      </c>
      <c r="K27" s="20" t="s">
        <v>4012</v>
      </c>
      <c r="L27" s="21" t="str">
        <f t="shared" si="2"/>
        <v>Forte-Building a Second Brain</v>
      </c>
      <c r="M27" s="2" t="s">
        <v>2921</v>
      </c>
      <c r="N27" s="4">
        <v>1</v>
      </c>
      <c r="O27" s="2"/>
      <c r="P27" s="11">
        <f>SUBTOTAL(3,_xlfn.SINGLE(tbl_nest[RowId]))</f>
        <v>1</v>
      </c>
    </row>
    <row r="28" spans="3:16">
      <c r="C28" s="2" t="s">
        <v>4019</v>
      </c>
      <c r="J28" s="4">
        <v>18</v>
      </c>
      <c r="K28" s="20" t="s">
        <v>4012</v>
      </c>
      <c r="L28" s="21" t="str">
        <f t="shared" si="2"/>
        <v>Forte-Building a Second Brain</v>
      </c>
      <c r="M28" s="2" t="s">
        <v>2924</v>
      </c>
      <c r="N28" s="4">
        <v>1</v>
      </c>
      <c r="O28" s="2"/>
      <c r="P28" s="11">
        <f>SUBTOTAL(3,_xlfn.SINGLE(tbl_nest[RowId]))</f>
        <v>1</v>
      </c>
    </row>
    <row r="29" spans="3:16">
      <c r="C29" s="2" t="s">
        <v>4020</v>
      </c>
      <c r="J29" s="4">
        <v>19</v>
      </c>
      <c r="K29" s="20" t="s">
        <v>4012</v>
      </c>
      <c r="L29" s="21" t="str">
        <f t="shared" si="2"/>
        <v>Forte-Building a Second Brain</v>
      </c>
      <c r="M29" s="2" t="s">
        <v>2927</v>
      </c>
      <c r="N29" s="4">
        <v>1</v>
      </c>
      <c r="O29" s="2"/>
      <c r="P29" s="11">
        <f>SUBTOTAL(3,_xlfn.SINGLE(tbl_nest[RowId]))</f>
        <v>1</v>
      </c>
    </row>
    <row r="30" spans="3:16">
      <c r="C30" s="2" t="s">
        <v>4021</v>
      </c>
      <c r="J30" s="4">
        <v>20</v>
      </c>
      <c r="K30" s="20" t="s">
        <v>4012</v>
      </c>
      <c r="L30" s="21" t="str">
        <f t="shared" si="2"/>
        <v>Forte-Building a Second Brain</v>
      </c>
      <c r="M30" s="2" t="s">
        <v>2930</v>
      </c>
      <c r="N30" s="4">
        <v>1</v>
      </c>
      <c r="O30" s="2"/>
      <c r="P30" s="11">
        <f>SUBTOTAL(3,_xlfn.SINGLE(tbl_nest[RowId]))</f>
        <v>1</v>
      </c>
    </row>
    <row r="31" spans="3:16">
      <c r="C31" s="2" t="s">
        <v>4022</v>
      </c>
      <c r="J31" s="4">
        <v>21</v>
      </c>
      <c r="K31" s="20" t="s">
        <v>4012</v>
      </c>
      <c r="L31" s="21" t="str">
        <f t="shared" si="2"/>
        <v>Forte-Building a Second Brain</v>
      </c>
      <c r="M31" s="2" t="s">
        <v>2933</v>
      </c>
      <c r="N31" s="4">
        <v>1</v>
      </c>
      <c r="O31" s="2"/>
      <c r="P31" s="11">
        <f>SUBTOTAL(3,_xlfn.SINGLE(tbl_nest[RowId]))</f>
        <v>1</v>
      </c>
    </row>
    <row r="32" spans="3:16">
      <c r="C32" s="2" t="s">
        <v>4023</v>
      </c>
      <c r="J32" s="4">
        <v>22</v>
      </c>
      <c r="K32" s="20" t="s">
        <v>4012</v>
      </c>
      <c r="L32" s="21" t="str">
        <f t="shared" ref="L32:L38" si="3">HYPERLINK("obsidian://open?vault=o2&amp;file=Hardin-Essential%20Poker%20Math%2C%20Expanded%20Edition.md","Hardin-Essential Poker Math, Expanded Edition")</f>
        <v>Hardin-Essential Poker Math, Expanded Edition</v>
      </c>
      <c r="M32" s="2" t="s">
        <v>2917</v>
      </c>
      <c r="N32" s="4">
        <v>1</v>
      </c>
      <c r="O32" s="2"/>
      <c r="P32" s="11">
        <f>SUBTOTAL(3,_xlfn.SINGLE(tbl_nest[RowId]))</f>
        <v>1</v>
      </c>
    </row>
    <row r="33" spans="3:16">
      <c r="C33" s="2" t="s">
        <v>4024</v>
      </c>
      <c r="J33" s="4">
        <v>23</v>
      </c>
      <c r="K33" s="20" t="s">
        <v>4012</v>
      </c>
      <c r="L33" s="21" t="str">
        <f t="shared" si="3"/>
        <v>Hardin-Essential Poker Math, Expanded Edition</v>
      </c>
      <c r="M33" s="2" t="s">
        <v>2919</v>
      </c>
      <c r="N33" s="4">
        <v>1</v>
      </c>
      <c r="O33" s="2"/>
      <c r="P33" s="11">
        <f>SUBTOTAL(3,_xlfn.SINGLE(tbl_nest[RowId]))</f>
        <v>1</v>
      </c>
    </row>
    <row r="34" spans="3:16">
      <c r="C34" s="2" t="s">
        <v>4574</v>
      </c>
      <c r="J34" s="4">
        <v>24</v>
      </c>
      <c r="K34" s="20" t="s">
        <v>4012</v>
      </c>
      <c r="L34" s="21" t="str">
        <f t="shared" si="3"/>
        <v>Hardin-Essential Poker Math, Expanded Edition</v>
      </c>
      <c r="M34" s="2" t="s">
        <v>2921</v>
      </c>
      <c r="N34" s="4">
        <v>1</v>
      </c>
      <c r="O34" s="2"/>
      <c r="P34" s="11">
        <f>SUBTOTAL(3,_xlfn.SINGLE(tbl_nest[RowId]))</f>
        <v>1</v>
      </c>
    </row>
    <row r="35" spans="3:16">
      <c r="C35" s="2" t="s">
        <v>4575</v>
      </c>
      <c r="J35" s="4">
        <v>25</v>
      </c>
      <c r="K35" s="20" t="s">
        <v>4012</v>
      </c>
      <c r="L35" s="21" t="str">
        <f t="shared" si="3"/>
        <v>Hardin-Essential Poker Math, Expanded Edition</v>
      </c>
      <c r="M35" s="2" t="s">
        <v>2924</v>
      </c>
      <c r="N35" s="4">
        <v>1</v>
      </c>
      <c r="O35" s="2"/>
      <c r="P35" s="11">
        <f>SUBTOTAL(3,_xlfn.SINGLE(tbl_nest[RowId]))</f>
        <v>1</v>
      </c>
    </row>
    <row r="36" spans="3:16">
      <c r="J36" s="4">
        <v>26</v>
      </c>
      <c r="K36" s="20" t="s">
        <v>4012</v>
      </c>
      <c r="L36" s="21" t="str">
        <f t="shared" si="3"/>
        <v>Hardin-Essential Poker Math, Expanded Edition</v>
      </c>
      <c r="M36" s="2" t="s">
        <v>2927</v>
      </c>
      <c r="N36" s="4">
        <v>1</v>
      </c>
      <c r="O36" s="2"/>
      <c r="P36" s="11">
        <f>SUBTOTAL(3,_xlfn.SINGLE(tbl_nest[RowId]))</f>
        <v>1</v>
      </c>
    </row>
    <row r="37" spans="3:16">
      <c r="J37" s="4">
        <v>27</v>
      </c>
      <c r="K37" s="20" t="s">
        <v>4012</v>
      </c>
      <c r="L37" s="21" t="str">
        <f t="shared" si="3"/>
        <v>Hardin-Essential Poker Math, Expanded Edition</v>
      </c>
      <c r="M37" s="2" t="s">
        <v>2930</v>
      </c>
      <c r="N37" s="4">
        <v>1</v>
      </c>
      <c r="O37" s="2"/>
      <c r="P37" s="11">
        <f>SUBTOTAL(3,_xlfn.SINGLE(tbl_nest[RowId]))</f>
        <v>1</v>
      </c>
    </row>
    <row r="38" spans="3:16">
      <c r="J38" s="4">
        <v>28</v>
      </c>
      <c r="K38" s="20" t="s">
        <v>4012</v>
      </c>
      <c r="L38" s="21" t="str">
        <f t="shared" si="3"/>
        <v>Hardin-Essential Poker Math, Expanded Edition</v>
      </c>
      <c r="M38" s="2" t="s">
        <v>2933</v>
      </c>
      <c r="N38" s="4">
        <v>1</v>
      </c>
      <c r="O38" s="2"/>
      <c r="P38" s="11">
        <f>SUBTOTAL(3,_xlfn.SINGLE(tbl_nest[RowId]))</f>
        <v>1</v>
      </c>
    </row>
    <row r="39" spans="3:16">
      <c r="J39" s="4">
        <v>29</v>
      </c>
      <c r="K39" s="20" t="s">
        <v>4012</v>
      </c>
      <c r="L39" s="21" t="str">
        <f t="shared" ref="L39:L45" si="4">HYPERLINK("obsidian://open?vault=o2&amp;file=Ketcham-The%20Life%20of%20Abraham%20Lincoln.md","Ketcham-The Life of Abraham Lincoln")</f>
        <v>Ketcham-The Life of Abraham Lincoln</v>
      </c>
      <c r="M39" s="2" t="s">
        <v>2917</v>
      </c>
      <c r="N39" s="4">
        <v>1</v>
      </c>
      <c r="O39" s="2"/>
      <c r="P39" s="11">
        <f>SUBTOTAL(3,_xlfn.SINGLE(tbl_nest[RowId]))</f>
        <v>1</v>
      </c>
    </row>
    <row r="40" spans="3:16">
      <c r="J40" s="4">
        <v>30</v>
      </c>
      <c r="K40" s="20" t="s">
        <v>4012</v>
      </c>
      <c r="L40" s="21" t="str">
        <f t="shared" si="4"/>
        <v>Ketcham-The Life of Abraham Lincoln</v>
      </c>
      <c r="M40" s="2" t="s">
        <v>2919</v>
      </c>
      <c r="N40" s="4">
        <v>1</v>
      </c>
      <c r="O40" s="2"/>
      <c r="P40" s="11">
        <f>SUBTOTAL(3,_xlfn.SINGLE(tbl_nest[RowId]))</f>
        <v>1</v>
      </c>
    </row>
    <row r="41" spans="3:16">
      <c r="J41" s="4">
        <v>31</v>
      </c>
      <c r="K41" s="20" t="s">
        <v>4012</v>
      </c>
      <c r="L41" s="21" t="str">
        <f t="shared" si="4"/>
        <v>Ketcham-The Life of Abraham Lincoln</v>
      </c>
      <c r="M41" s="2" t="s">
        <v>2921</v>
      </c>
      <c r="N41" s="4">
        <v>1</v>
      </c>
      <c r="O41" s="2"/>
      <c r="P41" s="11">
        <f>SUBTOTAL(3,_xlfn.SINGLE(tbl_nest[RowId]))</f>
        <v>1</v>
      </c>
    </row>
    <row r="42" spans="3:16">
      <c r="J42" s="4">
        <v>32</v>
      </c>
      <c r="K42" s="20" t="s">
        <v>4012</v>
      </c>
      <c r="L42" s="21" t="str">
        <f t="shared" si="4"/>
        <v>Ketcham-The Life of Abraham Lincoln</v>
      </c>
      <c r="M42" s="2" t="s">
        <v>2924</v>
      </c>
      <c r="N42" s="4">
        <v>1</v>
      </c>
      <c r="O42" s="2"/>
      <c r="P42" s="11">
        <f>SUBTOTAL(3,_xlfn.SINGLE(tbl_nest[RowId]))</f>
        <v>1</v>
      </c>
    </row>
    <row r="43" spans="3:16">
      <c r="J43" s="4">
        <v>33</v>
      </c>
      <c r="K43" s="20" t="s">
        <v>4012</v>
      </c>
      <c r="L43" s="21" t="str">
        <f t="shared" si="4"/>
        <v>Ketcham-The Life of Abraham Lincoln</v>
      </c>
      <c r="M43" s="2" t="s">
        <v>2927</v>
      </c>
      <c r="N43" s="4">
        <v>1</v>
      </c>
      <c r="O43" s="2"/>
      <c r="P43" s="11">
        <f>SUBTOTAL(3,_xlfn.SINGLE(tbl_nest[RowId]))</f>
        <v>1</v>
      </c>
    </row>
    <row r="44" spans="3:16">
      <c r="J44" s="4">
        <v>34</v>
      </c>
      <c r="K44" s="20" t="s">
        <v>4012</v>
      </c>
      <c r="L44" s="21" t="str">
        <f t="shared" si="4"/>
        <v>Ketcham-The Life of Abraham Lincoln</v>
      </c>
      <c r="M44" s="2" t="s">
        <v>2930</v>
      </c>
      <c r="N44" s="4">
        <v>1</v>
      </c>
      <c r="O44" s="2"/>
      <c r="P44" s="11">
        <f>SUBTOTAL(3,_xlfn.SINGLE(tbl_nest[RowId]))</f>
        <v>1</v>
      </c>
    </row>
    <row r="45" spans="3:16">
      <c r="J45" s="4">
        <v>35</v>
      </c>
      <c r="K45" s="20" t="s">
        <v>4012</v>
      </c>
      <c r="L45" s="21" t="str">
        <f t="shared" si="4"/>
        <v>Ketcham-The Life of Abraham Lincoln</v>
      </c>
      <c r="M45" s="2" t="s">
        <v>2933</v>
      </c>
      <c r="N45" s="4">
        <v>1</v>
      </c>
      <c r="O45" s="2"/>
      <c r="P45" s="11">
        <f>SUBTOTAL(3,_xlfn.SINGLE(tbl_nest[RowId]))</f>
        <v>1</v>
      </c>
    </row>
    <row r="46" spans="3:16">
      <c r="J46" s="4">
        <v>36</v>
      </c>
      <c r="K46" s="20" t="s">
        <v>4012</v>
      </c>
      <c r="L46" s="21" t="str">
        <f t="shared" ref="L46:L52" si="5">HYPERLINK("obsidian://open?vault=o2&amp;file=Oxenreider-Musser-Organized%20Simplicity.md","Oxenreider-Musser-Organized Simplicity")</f>
        <v>Oxenreider-Musser-Organized Simplicity</v>
      </c>
      <c r="M46" s="2" t="s">
        <v>2917</v>
      </c>
      <c r="N46" s="4">
        <v>1</v>
      </c>
      <c r="O46" s="2"/>
      <c r="P46" s="11">
        <f>SUBTOTAL(3,_xlfn.SINGLE(tbl_nest[RowId]))</f>
        <v>1</v>
      </c>
    </row>
    <row r="47" spans="3:16">
      <c r="J47" s="4">
        <v>37</v>
      </c>
      <c r="K47" s="20" t="s">
        <v>4012</v>
      </c>
      <c r="L47" s="21" t="str">
        <f t="shared" si="5"/>
        <v>Oxenreider-Musser-Organized Simplicity</v>
      </c>
      <c r="M47" s="2" t="s">
        <v>2919</v>
      </c>
      <c r="N47" s="4">
        <v>1</v>
      </c>
      <c r="O47" s="2"/>
      <c r="P47" s="11">
        <f>SUBTOTAL(3,_xlfn.SINGLE(tbl_nest[RowId]))</f>
        <v>1</v>
      </c>
    </row>
    <row r="48" spans="3:16">
      <c r="J48" s="4">
        <v>38</v>
      </c>
      <c r="K48" s="20" t="s">
        <v>4012</v>
      </c>
      <c r="L48" s="21" t="str">
        <f t="shared" si="5"/>
        <v>Oxenreider-Musser-Organized Simplicity</v>
      </c>
      <c r="M48" s="2" t="s">
        <v>2921</v>
      </c>
      <c r="N48" s="4">
        <v>1</v>
      </c>
      <c r="O48" s="2"/>
      <c r="P48" s="11">
        <f>SUBTOTAL(3,_xlfn.SINGLE(tbl_nest[RowId]))</f>
        <v>1</v>
      </c>
    </row>
    <row r="49" spans="10:16">
      <c r="J49" s="4">
        <v>39</v>
      </c>
      <c r="K49" s="20" t="s">
        <v>4012</v>
      </c>
      <c r="L49" s="21" t="str">
        <f t="shared" si="5"/>
        <v>Oxenreider-Musser-Organized Simplicity</v>
      </c>
      <c r="M49" s="2" t="s">
        <v>2924</v>
      </c>
      <c r="N49" s="4">
        <v>1</v>
      </c>
      <c r="O49" s="2"/>
      <c r="P49" s="11">
        <f>SUBTOTAL(3,_xlfn.SINGLE(tbl_nest[RowId]))</f>
        <v>1</v>
      </c>
    </row>
    <row r="50" spans="10:16">
      <c r="J50" s="4">
        <v>40</v>
      </c>
      <c r="K50" s="20" t="s">
        <v>4012</v>
      </c>
      <c r="L50" s="21" t="str">
        <f t="shared" si="5"/>
        <v>Oxenreider-Musser-Organized Simplicity</v>
      </c>
      <c r="M50" s="2" t="s">
        <v>2927</v>
      </c>
      <c r="N50" s="4">
        <v>1</v>
      </c>
      <c r="O50" s="2"/>
      <c r="P50" s="11">
        <f>SUBTOTAL(3,_xlfn.SINGLE(tbl_nest[RowId]))</f>
        <v>1</v>
      </c>
    </row>
    <row r="51" spans="10:16">
      <c r="J51" s="4">
        <v>41</v>
      </c>
      <c r="K51" s="20" t="s">
        <v>4012</v>
      </c>
      <c r="L51" s="21" t="str">
        <f t="shared" si="5"/>
        <v>Oxenreider-Musser-Organized Simplicity</v>
      </c>
      <c r="M51" s="2" t="s">
        <v>2930</v>
      </c>
      <c r="N51" s="4">
        <v>1</v>
      </c>
      <c r="O51" s="2"/>
      <c r="P51" s="11">
        <f>SUBTOTAL(3,_xlfn.SINGLE(tbl_nest[RowId]))</f>
        <v>1</v>
      </c>
    </row>
    <row r="52" spans="10:16">
      <c r="J52" s="4">
        <v>42</v>
      </c>
      <c r="K52" s="20" t="s">
        <v>4012</v>
      </c>
      <c r="L52" s="21" t="str">
        <f t="shared" si="5"/>
        <v>Oxenreider-Musser-Organized Simplicity</v>
      </c>
      <c r="M52" s="2" t="s">
        <v>2933</v>
      </c>
      <c r="N52" s="4">
        <v>1</v>
      </c>
      <c r="O52" s="2"/>
      <c r="P52" s="11">
        <f>SUBTOTAL(3,_xlfn.SINGLE(tbl_nest[RowId]))</f>
        <v>1</v>
      </c>
    </row>
    <row r="53" spans="10:16">
      <c r="J53" s="4">
        <v>43</v>
      </c>
      <c r="K53" s="20" t="s">
        <v>2821</v>
      </c>
      <c r="L53" s="21" t="str">
        <f t="shared" ref="L53:L83" si="6">HYPERLINK("obsidian://open?vault=o2&amp;file=i.md","i")</f>
        <v>i</v>
      </c>
      <c r="M53" s="2" t="s">
        <v>2769</v>
      </c>
      <c r="N53" s="4">
        <v>1</v>
      </c>
      <c r="O53" s="2"/>
      <c r="P53" s="11">
        <f>SUBTOTAL(3,_xlfn.SINGLE(tbl_nest[RowId]))</f>
        <v>1</v>
      </c>
    </row>
    <row r="54" spans="10:16">
      <c r="J54" s="4">
        <v>44</v>
      </c>
      <c r="K54" s="20" t="s">
        <v>2821</v>
      </c>
      <c r="L54" s="21" t="str">
        <f t="shared" si="6"/>
        <v>i</v>
      </c>
      <c r="M54" s="2" t="s">
        <v>2772</v>
      </c>
      <c r="N54" s="4">
        <v>1</v>
      </c>
      <c r="O54" s="2"/>
      <c r="P54" s="11">
        <f>SUBTOTAL(3,_xlfn.SINGLE(tbl_nest[RowId]))</f>
        <v>1</v>
      </c>
    </row>
    <row r="55" spans="10:16">
      <c r="J55" s="4">
        <v>45</v>
      </c>
      <c r="K55" s="20" t="s">
        <v>2821</v>
      </c>
      <c r="L55" s="21" t="str">
        <f t="shared" si="6"/>
        <v>i</v>
      </c>
      <c r="M55" s="2" t="s">
        <v>2773</v>
      </c>
      <c r="N55" s="4">
        <v>1</v>
      </c>
      <c r="O55" s="2"/>
      <c r="P55" s="11">
        <f>SUBTOTAL(3,_xlfn.SINGLE(tbl_nest[RowId]))</f>
        <v>1</v>
      </c>
    </row>
    <row r="56" spans="10:16">
      <c r="J56" s="4">
        <v>46</v>
      </c>
      <c r="K56" s="20" t="s">
        <v>2821</v>
      </c>
      <c r="L56" s="21" t="str">
        <f t="shared" si="6"/>
        <v>i</v>
      </c>
      <c r="M56" s="2" t="s">
        <v>2774</v>
      </c>
      <c r="N56" s="4">
        <v>1</v>
      </c>
      <c r="O56" s="2"/>
      <c r="P56" s="11">
        <f>SUBTOTAL(3,_xlfn.SINGLE(tbl_nest[RowId]))</f>
        <v>1</v>
      </c>
    </row>
    <row r="57" spans="10:16">
      <c r="J57" s="4">
        <v>47</v>
      </c>
      <c r="K57" s="20" t="s">
        <v>2821</v>
      </c>
      <c r="L57" s="21" t="str">
        <f t="shared" si="6"/>
        <v>i</v>
      </c>
      <c r="M57" s="2" t="s">
        <v>2776</v>
      </c>
      <c r="N57" s="4">
        <v>2</v>
      </c>
      <c r="O57" s="2" t="s">
        <v>4025</v>
      </c>
      <c r="P57" s="11">
        <f>SUBTOTAL(3,_xlfn.SINGLE(tbl_nest[RowId]))</f>
        <v>1</v>
      </c>
    </row>
    <row r="58" spans="10:16">
      <c r="J58" s="4">
        <v>48</v>
      </c>
      <c r="K58" s="20" t="s">
        <v>2821</v>
      </c>
      <c r="L58" s="21" t="str">
        <f t="shared" si="6"/>
        <v>i</v>
      </c>
      <c r="M58" s="2" t="s">
        <v>2778</v>
      </c>
      <c r="N58" s="4">
        <v>2</v>
      </c>
      <c r="O58" s="2" t="s">
        <v>4026</v>
      </c>
      <c r="P58" s="11">
        <f>SUBTOTAL(3,_xlfn.SINGLE(tbl_nest[RowId]))</f>
        <v>1</v>
      </c>
    </row>
    <row r="59" spans="10:16">
      <c r="J59" s="4">
        <v>49</v>
      </c>
      <c r="K59" s="20" t="s">
        <v>2821</v>
      </c>
      <c r="L59" s="21" t="str">
        <f t="shared" si="6"/>
        <v>i</v>
      </c>
      <c r="M59" s="2" t="s">
        <v>2780</v>
      </c>
      <c r="N59" s="4">
        <v>2</v>
      </c>
      <c r="O59" s="2" t="s">
        <v>4027</v>
      </c>
      <c r="P59" s="11">
        <f>SUBTOTAL(3,_xlfn.SINGLE(tbl_nest[RowId]))</f>
        <v>1</v>
      </c>
    </row>
    <row r="60" spans="10:16">
      <c r="J60" s="4">
        <v>50</v>
      </c>
      <c r="K60" s="20" t="s">
        <v>2821</v>
      </c>
      <c r="L60" s="21" t="str">
        <f t="shared" si="6"/>
        <v>i</v>
      </c>
      <c r="M60" s="2" t="s">
        <v>2782</v>
      </c>
      <c r="N60" s="4">
        <v>14</v>
      </c>
      <c r="O60" s="2" t="s">
        <v>4028</v>
      </c>
      <c r="P60" s="11">
        <f>SUBTOTAL(3,_xlfn.SINGLE(tbl_nest[RowId]))</f>
        <v>1</v>
      </c>
    </row>
    <row r="61" spans="10:16">
      <c r="J61" s="4">
        <v>51</v>
      </c>
      <c r="K61" s="20" t="s">
        <v>2821</v>
      </c>
      <c r="L61" s="21" t="str">
        <f t="shared" si="6"/>
        <v>i</v>
      </c>
      <c r="M61" s="2" t="s">
        <v>2784</v>
      </c>
      <c r="N61" s="4">
        <v>14</v>
      </c>
      <c r="O61" s="2" t="s">
        <v>4029</v>
      </c>
      <c r="P61" s="11">
        <f>SUBTOTAL(3,_xlfn.SINGLE(tbl_nest[RowId]))</f>
        <v>1</v>
      </c>
    </row>
    <row r="62" spans="10:16">
      <c r="J62" s="4">
        <v>52</v>
      </c>
      <c r="K62" s="20" t="s">
        <v>2821</v>
      </c>
      <c r="L62" s="21" t="str">
        <f t="shared" si="6"/>
        <v>i</v>
      </c>
      <c r="M62" s="2" t="s">
        <v>2786</v>
      </c>
      <c r="N62" s="4">
        <v>2</v>
      </c>
      <c r="O62" s="2" t="s">
        <v>2771</v>
      </c>
      <c r="P62" s="11">
        <f>SUBTOTAL(3,_xlfn.SINGLE(tbl_nest[RowId]))</f>
        <v>1</v>
      </c>
    </row>
    <row r="63" spans="10:16">
      <c r="J63" s="4">
        <v>53</v>
      </c>
      <c r="K63" s="20" t="s">
        <v>2821</v>
      </c>
      <c r="L63" s="21" t="str">
        <f t="shared" si="6"/>
        <v>i</v>
      </c>
      <c r="M63" s="2" t="s">
        <v>2788</v>
      </c>
      <c r="N63" s="4">
        <v>3</v>
      </c>
      <c r="O63" s="2" t="s">
        <v>2832</v>
      </c>
      <c r="P63" s="11">
        <f>SUBTOTAL(3,_xlfn.SINGLE(tbl_nest[RowId]))</f>
        <v>1</v>
      </c>
    </row>
    <row r="64" spans="10:16">
      <c r="J64" s="4">
        <v>54</v>
      </c>
      <c r="K64" s="20" t="s">
        <v>2821</v>
      </c>
      <c r="L64" s="21" t="str">
        <f t="shared" si="6"/>
        <v>i</v>
      </c>
      <c r="M64" s="2" t="s">
        <v>2791</v>
      </c>
      <c r="N64" s="4">
        <v>3</v>
      </c>
      <c r="O64" s="2" t="s">
        <v>2833</v>
      </c>
      <c r="P64" s="11">
        <f>SUBTOTAL(3,_xlfn.SINGLE(tbl_nest[RowId]))</f>
        <v>1</v>
      </c>
    </row>
    <row r="65" spans="10:16">
      <c r="J65" s="4">
        <v>55</v>
      </c>
      <c r="K65" s="20" t="s">
        <v>2821</v>
      </c>
      <c r="L65" s="21" t="str">
        <f t="shared" si="6"/>
        <v>i</v>
      </c>
      <c r="M65" s="2" t="s">
        <v>2794</v>
      </c>
      <c r="N65" s="4">
        <v>3</v>
      </c>
      <c r="O65" s="2" t="s">
        <v>4030</v>
      </c>
      <c r="P65" s="11">
        <f>SUBTOTAL(3,_xlfn.SINGLE(tbl_nest[RowId]))</f>
        <v>1</v>
      </c>
    </row>
    <row r="66" spans="10:16">
      <c r="J66" s="4">
        <v>56</v>
      </c>
      <c r="K66" s="20" t="s">
        <v>2821</v>
      </c>
      <c r="L66" s="21" t="str">
        <f t="shared" si="6"/>
        <v>i</v>
      </c>
      <c r="M66" s="2" t="s">
        <v>2797</v>
      </c>
      <c r="N66" s="4">
        <v>3</v>
      </c>
      <c r="O66" s="2" t="s">
        <v>2787</v>
      </c>
      <c r="P66" s="11">
        <f>SUBTOTAL(3,_xlfn.SINGLE(tbl_nest[RowId]))</f>
        <v>1</v>
      </c>
    </row>
    <row r="67" spans="10:16">
      <c r="J67" s="4">
        <v>57</v>
      </c>
      <c r="K67" s="20" t="s">
        <v>2821</v>
      </c>
      <c r="L67" s="21" t="str">
        <f t="shared" si="6"/>
        <v>i</v>
      </c>
      <c r="M67" s="2" t="s">
        <v>2800</v>
      </c>
      <c r="N67" s="4">
        <v>2</v>
      </c>
      <c r="O67" s="2" t="s">
        <v>4031</v>
      </c>
      <c r="P67" s="11">
        <f>SUBTOTAL(3,_xlfn.SINGLE(tbl_nest[RowId]))</f>
        <v>1</v>
      </c>
    </row>
    <row r="68" spans="10:16">
      <c r="J68" s="4">
        <v>58</v>
      </c>
      <c r="K68" s="20" t="s">
        <v>2821</v>
      </c>
      <c r="L68" s="21" t="str">
        <f t="shared" si="6"/>
        <v>i</v>
      </c>
      <c r="M68" s="2" t="s">
        <v>2802</v>
      </c>
      <c r="N68" s="4">
        <v>2</v>
      </c>
      <c r="O68" s="2" t="s">
        <v>4032</v>
      </c>
      <c r="P68" s="11">
        <f>SUBTOTAL(3,_xlfn.SINGLE(tbl_nest[RowId]))</f>
        <v>1</v>
      </c>
    </row>
    <row r="69" spans="10:16">
      <c r="J69" s="4">
        <v>59</v>
      </c>
      <c r="K69" s="20" t="s">
        <v>2821</v>
      </c>
      <c r="L69" s="21" t="str">
        <f t="shared" si="6"/>
        <v>i</v>
      </c>
      <c r="M69" s="2" t="s">
        <v>2804</v>
      </c>
      <c r="N69" s="4">
        <v>2</v>
      </c>
      <c r="O69" s="2" t="s">
        <v>4033</v>
      </c>
      <c r="P69" s="11">
        <f>SUBTOTAL(3,_xlfn.SINGLE(tbl_nest[RowId]))</f>
        <v>1</v>
      </c>
    </row>
    <row r="70" spans="10:16">
      <c r="J70" s="4">
        <v>60</v>
      </c>
      <c r="K70" s="20" t="s">
        <v>2821</v>
      </c>
      <c r="L70" s="21" t="str">
        <f t="shared" si="6"/>
        <v>i</v>
      </c>
      <c r="M70" s="2" t="s">
        <v>2806</v>
      </c>
      <c r="N70" s="4">
        <v>2</v>
      </c>
      <c r="O70" s="2" t="s">
        <v>4034</v>
      </c>
      <c r="P70" s="11">
        <f>SUBTOTAL(3,_xlfn.SINGLE(tbl_nest[RowId]))</f>
        <v>1</v>
      </c>
    </row>
    <row r="71" spans="10:16">
      <c r="J71" s="4">
        <v>61</v>
      </c>
      <c r="K71" s="20" t="s">
        <v>2821</v>
      </c>
      <c r="L71" s="21" t="str">
        <f t="shared" si="6"/>
        <v>i</v>
      </c>
      <c r="M71" s="2" t="s">
        <v>2808</v>
      </c>
      <c r="N71" s="4">
        <v>1</v>
      </c>
      <c r="O71" s="2"/>
      <c r="P71" s="11">
        <f>SUBTOTAL(3,_xlfn.SINGLE(tbl_nest[RowId]))</f>
        <v>1</v>
      </c>
    </row>
    <row r="72" spans="10:16">
      <c r="J72" s="4">
        <v>62</v>
      </c>
      <c r="K72" s="20" t="s">
        <v>2821</v>
      </c>
      <c r="L72" s="21" t="str">
        <f t="shared" si="6"/>
        <v>i</v>
      </c>
      <c r="M72" s="2" t="s">
        <v>2810</v>
      </c>
      <c r="N72" s="4">
        <v>3</v>
      </c>
      <c r="O72" s="2" t="s">
        <v>2787</v>
      </c>
      <c r="P72" s="11">
        <f>SUBTOTAL(3,_xlfn.SINGLE(tbl_nest[RowId]))</f>
        <v>1</v>
      </c>
    </row>
    <row r="73" spans="10:16">
      <c r="J73" s="4">
        <v>63</v>
      </c>
      <c r="K73" s="20" t="s">
        <v>2821</v>
      </c>
      <c r="L73" s="21" t="str">
        <f t="shared" si="6"/>
        <v>i</v>
      </c>
      <c r="M73" s="2" t="s">
        <v>2812</v>
      </c>
      <c r="N73" s="4">
        <v>14</v>
      </c>
      <c r="O73" s="2" t="s">
        <v>4035</v>
      </c>
      <c r="P73" s="11">
        <f>SUBTOTAL(3,_xlfn.SINGLE(tbl_nest[RowId]))</f>
        <v>1</v>
      </c>
    </row>
    <row r="74" spans="10:16">
      <c r="J74" s="4">
        <v>64</v>
      </c>
      <c r="K74" s="20" t="s">
        <v>2821</v>
      </c>
      <c r="L74" s="21" t="str">
        <f t="shared" si="6"/>
        <v>i</v>
      </c>
      <c r="M74" s="2" t="s">
        <v>2814</v>
      </c>
      <c r="N74" s="4">
        <v>14</v>
      </c>
      <c r="O74" s="2" t="s">
        <v>4036</v>
      </c>
      <c r="P74" s="11">
        <f>SUBTOTAL(3,_xlfn.SINGLE(tbl_nest[RowId]))</f>
        <v>1</v>
      </c>
    </row>
    <row r="75" spans="10:16">
      <c r="J75" s="4">
        <v>65</v>
      </c>
      <c r="K75" s="20" t="s">
        <v>2821</v>
      </c>
      <c r="L75" s="21" t="str">
        <f t="shared" si="6"/>
        <v>i</v>
      </c>
      <c r="M75" s="2" t="s">
        <v>2816</v>
      </c>
      <c r="N75" s="4">
        <v>14</v>
      </c>
      <c r="O75" s="2" t="s">
        <v>4037</v>
      </c>
      <c r="P75" s="11">
        <f>SUBTOTAL(3,_xlfn.SINGLE(tbl_nest[RowId]))</f>
        <v>1</v>
      </c>
    </row>
    <row r="76" spans="10:16">
      <c r="J76" s="4">
        <v>66</v>
      </c>
      <c r="K76" s="20" t="s">
        <v>2821</v>
      </c>
      <c r="L76" s="21" t="str">
        <f t="shared" si="6"/>
        <v>i</v>
      </c>
      <c r="M76" s="2" t="s">
        <v>2819</v>
      </c>
      <c r="N76" s="4">
        <v>1</v>
      </c>
      <c r="O76" s="2"/>
      <c r="P76" s="11">
        <f>SUBTOTAL(3,_xlfn.SINGLE(tbl_nest[RowId]))</f>
        <v>1</v>
      </c>
    </row>
    <row r="77" spans="10:16">
      <c r="J77" s="4">
        <v>67</v>
      </c>
      <c r="K77" s="20" t="s">
        <v>2821</v>
      </c>
      <c r="L77" s="21" t="str">
        <f t="shared" si="6"/>
        <v>i</v>
      </c>
      <c r="M77" s="2" t="s">
        <v>44</v>
      </c>
      <c r="N77" s="4">
        <v>1</v>
      </c>
      <c r="O77" s="2"/>
      <c r="P77" s="11">
        <f>SUBTOTAL(3,_xlfn.SINGLE(tbl_nest[RowId]))</f>
        <v>1</v>
      </c>
    </row>
    <row r="78" spans="10:16">
      <c r="J78" s="4">
        <v>68</v>
      </c>
      <c r="K78" s="20" t="s">
        <v>2821</v>
      </c>
      <c r="L78" s="21" t="str">
        <f t="shared" si="6"/>
        <v>i</v>
      </c>
      <c r="M78" s="2" t="s">
        <v>49</v>
      </c>
      <c r="N78" s="4">
        <v>1</v>
      </c>
      <c r="O78" s="2"/>
      <c r="P78" s="11">
        <f>SUBTOTAL(3,_xlfn.SINGLE(tbl_nest[RowId]))</f>
        <v>1</v>
      </c>
    </row>
    <row r="79" spans="10:16">
      <c r="J79" s="4">
        <v>69</v>
      </c>
      <c r="K79" s="20" t="s">
        <v>2821</v>
      </c>
      <c r="L79" s="21" t="str">
        <f t="shared" si="6"/>
        <v>i</v>
      </c>
      <c r="M79" s="2" t="s">
        <v>51</v>
      </c>
      <c r="N79" s="4">
        <v>1</v>
      </c>
      <c r="O79" s="2"/>
      <c r="P79" s="11">
        <f>SUBTOTAL(3,_xlfn.SINGLE(tbl_nest[RowId]))</f>
        <v>1</v>
      </c>
    </row>
    <row r="80" spans="10:16">
      <c r="J80" s="4">
        <v>70</v>
      </c>
      <c r="K80" s="20" t="s">
        <v>2821</v>
      </c>
      <c r="L80" s="21" t="str">
        <f t="shared" si="6"/>
        <v>i</v>
      </c>
      <c r="M80" s="2" t="s">
        <v>2822</v>
      </c>
      <c r="N80" s="4">
        <v>1</v>
      </c>
      <c r="O80" s="2"/>
      <c r="P80" s="11">
        <f>SUBTOTAL(3,_xlfn.SINGLE(tbl_nest[RowId]))</f>
        <v>1</v>
      </c>
    </row>
    <row r="81" spans="10:16">
      <c r="J81" s="4">
        <v>71</v>
      </c>
      <c r="K81" s="20" t="s">
        <v>2821</v>
      </c>
      <c r="L81" s="21" t="str">
        <f t="shared" si="6"/>
        <v>i</v>
      </c>
      <c r="M81" s="2" t="s">
        <v>2824</v>
      </c>
      <c r="N81" s="4">
        <v>1</v>
      </c>
      <c r="O81" s="2"/>
      <c r="P81" s="11">
        <f>SUBTOTAL(3,_xlfn.SINGLE(tbl_nest[RowId]))</f>
        <v>1</v>
      </c>
    </row>
    <row r="82" spans="10:16">
      <c r="J82" s="4">
        <v>72</v>
      </c>
      <c r="K82" s="20" t="s">
        <v>2821</v>
      </c>
      <c r="L82" s="21" t="str">
        <f t="shared" si="6"/>
        <v>i</v>
      </c>
      <c r="M82" s="2" t="s">
        <v>2606</v>
      </c>
      <c r="N82" s="4">
        <v>1</v>
      </c>
      <c r="O82" s="2"/>
      <c r="P82" s="11">
        <f>SUBTOTAL(3,_xlfn.SINGLE(tbl_nest[RowId]))</f>
        <v>1</v>
      </c>
    </row>
    <row r="83" spans="10:16">
      <c r="J83" s="4">
        <v>73</v>
      </c>
      <c r="K83" s="20" t="s">
        <v>2821</v>
      </c>
      <c r="L83" s="21" t="str">
        <f t="shared" si="6"/>
        <v>i</v>
      </c>
      <c r="M83" s="2" t="s">
        <v>2826</v>
      </c>
      <c r="N83" s="4">
        <v>1</v>
      </c>
      <c r="O83" s="2"/>
      <c r="P83" s="11">
        <f>SUBTOTAL(3,_xlfn.SINGLE(tbl_nest[RowId]))</f>
        <v>1</v>
      </c>
    </row>
    <row r="84" spans="10:16">
      <c r="J84" s="4">
        <v>74</v>
      </c>
      <c r="K84" s="20" t="s">
        <v>2821</v>
      </c>
      <c r="L84" s="21" t="str">
        <f t="shared" ref="L84:L103" si="7">HYPERLINK("obsidian://open?vault=o2&amp;file=video.md","video")</f>
        <v>video</v>
      </c>
      <c r="M84" s="2" t="s">
        <v>2776</v>
      </c>
      <c r="N84" s="4">
        <v>2</v>
      </c>
      <c r="O84" s="2" t="s">
        <v>4025</v>
      </c>
      <c r="P84" s="11">
        <f>SUBTOTAL(3,_xlfn.SINGLE(tbl_nest[RowId]))</f>
        <v>1</v>
      </c>
    </row>
    <row r="85" spans="10:16">
      <c r="J85" s="4">
        <v>75</v>
      </c>
      <c r="K85" s="20" t="s">
        <v>2821</v>
      </c>
      <c r="L85" s="21" t="str">
        <f t="shared" si="7"/>
        <v>video</v>
      </c>
      <c r="M85" s="2" t="s">
        <v>2778</v>
      </c>
      <c r="N85" s="4">
        <v>2</v>
      </c>
      <c r="O85" s="2" t="s">
        <v>4026</v>
      </c>
      <c r="P85" s="11">
        <f>SUBTOTAL(3,_xlfn.SINGLE(tbl_nest[RowId]))</f>
        <v>1</v>
      </c>
    </row>
    <row r="86" spans="10:16">
      <c r="J86" s="4">
        <v>76</v>
      </c>
      <c r="K86" s="20" t="s">
        <v>2821</v>
      </c>
      <c r="L86" s="21" t="str">
        <f t="shared" si="7"/>
        <v>video</v>
      </c>
      <c r="M86" s="2" t="s">
        <v>2780</v>
      </c>
      <c r="N86" s="4">
        <v>2</v>
      </c>
      <c r="O86" s="2" t="s">
        <v>4027</v>
      </c>
      <c r="P86" s="11">
        <f>SUBTOTAL(3,_xlfn.SINGLE(tbl_nest[RowId]))</f>
        <v>1</v>
      </c>
    </row>
    <row r="87" spans="10:16">
      <c r="J87" s="4">
        <v>77</v>
      </c>
      <c r="K87" s="20" t="s">
        <v>2821</v>
      </c>
      <c r="L87" s="21" t="str">
        <f t="shared" si="7"/>
        <v>video</v>
      </c>
      <c r="M87" s="2" t="s">
        <v>2782</v>
      </c>
      <c r="N87" s="4">
        <v>10</v>
      </c>
      <c r="O87" s="2" t="s">
        <v>4038</v>
      </c>
      <c r="P87" s="11">
        <f>SUBTOTAL(3,_xlfn.SINGLE(tbl_nest[RowId]))</f>
        <v>1</v>
      </c>
    </row>
    <row r="88" spans="10:16">
      <c r="J88" s="4">
        <v>78</v>
      </c>
      <c r="K88" s="20" t="s">
        <v>2821</v>
      </c>
      <c r="L88" s="21" t="str">
        <f t="shared" si="7"/>
        <v>video</v>
      </c>
      <c r="M88" s="2" t="s">
        <v>2784</v>
      </c>
      <c r="N88" s="4">
        <v>10</v>
      </c>
      <c r="O88" s="2" t="s">
        <v>4039</v>
      </c>
      <c r="P88" s="11">
        <f>SUBTOTAL(3,_xlfn.SINGLE(tbl_nest[RowId]))</f>
        <v>1</v>
      </c>
    </row>
    <row r="89" spans="10:16">
      <c r="J89" s="4">
        <v>79</v>
      </c>
      <c r="K89" s="20" t="s">
        <v>2821</v>
      </c>
      <c r="L89" s="21" t="str">
        <f t="shared" si="7"/>
        <v>video</v>
      </c>
      <c r="M89" s="2" t="s">
        <v>2788</v>
      </c>
      <c r="N89" s="4">
        <v>2</v>
      </c>
      <c r="O89" s="2" t="s">
        <v>4040</v>
      </c>
      <c r="P89" s="11">
        <f>SUBTOTAL(3,_xlfn.SINGLE(tbl_nest[RowId]))</f>
        <v>1</v>
      </c>
    </row>
    <row r="90" spans="10:16">
      <c r="J90" s="4">
        <v>80</v>
      </c>
      <c r="K90" s="20" t="s">
        <v>2821</v>
      </c>
      <c r="L90" s="21" t="str">
        <f t="shared" si="7"/>
        <v>video</v>
      </c>
      <c r="M90" s="2" t="s">
        <v>2791</v>
      </c>
      <c r="N90" s="4">
        <v>2</v>
      </c>
      <c r="O90" s="2" t="s">
        <v>4041</v>
      </c>
      <c r="P90" s="11">
        <f>SUBTOTAL(3,_xlfn.SINGLE(tbl_nest[RowId]))</f>
        <v>1</v>
      </c>
    </row>
    <row r="91" spans="10:16">
      <c r="J91" s="4">
        <v>81</v>
      </c>
      <c r="K91" s="20" t="s">
        <v>2821</v>
      </c>
      <c r="L91" s="21" t="str">
        <f t="shared" si="7"/>
        <v>video</v>
      </c>
      <c r="M91" s="2" t="s">
        <v>2794</v>
      </c>
      <c r="N91" s="4">
        <v>4</v>
      </c>
      <c r="O91" s="2" t="s">
        <v>2796</v>
      </c>
      <c r="P91" s="11">
        <f>SUBTOTAL(3,_xlfn.SINGLE(tbl_nest[RowId]))</f>
        <v>1</v>
      </c>
    </row>
    <row r="92" spans="10:16">
      <c r="J92" s="4">
        <v>82</v>
      </c>
      <c r="K92" s="20" t="s">
        <v>2821</v>
      </c>
      <c r="L92" s="21" t="str">
        <f t="shared" si="7"/>
        <v>video</v>
      </c>
      <c r="M92" s="2" t="s">
        <v>2797</v>
      </c>
      <c r="N92" s="4">
        <v>4</v>
      </c>
      <c r="O92" s="2" t="s">
        <v>2799</v>
      </c>
      <c r="P92" s="11">
        <f>SUBTOTAL(3,_xlfn.SINGLE(tbl_nest[RowId]))</f>
        <v>1</v>
      </c>
    </row>
    <row r="93" spans="10:16">
      <c r="J93" s="4">
        <v>83</v>
      </c>
      <c r="K93" s="20" t="s">
        <v>2821</v>
      </c>
      <c r="L93" s="21" t="str">
        <f t="shared" si="7"/>
        <v>video</v>
      </c>
      <c r="M93" s="2" t="s">
        <v>2800</v>
      </c>
      <c r="N93" s="4">
        <v>3</v>
      </c>
      <c r="O93" s="2" t="s">
        <v>4042</v>
      </c>
      <c r="P93" s="11">
        <f>SUBTOTAL(3,_xlfn.SINGLE(tbl_nest[RowId]))</f>
        <v>1</v>
      </c>
    </row>
    <row r="94" spans="10:16">
      <c r="J94" s="4">
        <v>84</v>
      </c>
      <c r="K94" s="20" t="s">
        <v>2821</v>
      </c>
      <c r="L94" s="21" t="str">
        <f t="shared" si="7"/>
        <v>video</v>
      </c>
      <c r="M94" s="2" t="s">
        <v>2802</v>
      </c>
      <c r="N94" s="4">
        <v>3</v>
      </c>
      <c r="O94" s="2" t="s">
        <v>4043</v>
      </c>
      <c r="P94" s="11">
        <f>SUBTOTAL(3,_xlfn.SINGLE(tbl_nest[RowId]))</f>
        <v>1</v>
      </c>
    </row>
    <row r="95" spans="10:16">
      <c r="J95" s="4">
        <v>85</v>
      </c>
      <c r="K95" s="20" t="s">
        <v>2821</v>
      </c>
      <c r="L95" s="21" t="str">
        <f t="shared" si="7"/>
        <v>video</v>
      </c>
      <c r="M95" s="2" t="s">
        <v>2804</v>
      </c>
      <c r="N95" s="4">
        <v>3</v>
      </c>
      <c r="O95" s="2" t="s">
        <v>4044</v>
      </c>
      <c r="P95" s="11">
        <f>SUBTOTAL(3,_xlfn.SINGLE(tbl_nest[RowId]))</f>
        <v>1</v>
      </c>
    </row>
    <row r="96" spans="10:16">
      <c r="J96" s="4">
        <v>86</v>
      </c>
      <c r="K96" s="20" t="s">
        <v>2821</v>
      </c>
      <c r="L96" s="21" t="str">
        <f t="shared" si="7"/>
        <v>video</v>
      </c>
      <c r="M96" s="2" t="s">
        <v>2806</v>
      </c>
      <c r="N96" s="4">
        <v>3</v>
      </c>
      <c r="O96" s="2" t="s">
        <v>4045</v>
      </c>
      <c r="P96" s="11">
        <f>SUBTOTAL(3,_xlfn.SINGLE(tbl_nest[RowId]))</f>
        <v>1</v>
      </c>
    </row>
    <row r="97" spans="10:16">
      <c r="J97" s="4">
        <v>87</v>
      </c>
      <c r="K97" s="20" t="s">
        <v>2821</v>
      </c>
      <c r="L97" s="21" t="str">
        <f t="shared" si="7"/>
        <v>video</v>
      </c>
      <c r="M97" s="2" t="s">
        <v>2808</v>
      </c>
      <c r="N97" s="4">
        <v>1</v>
      </c>
      <c r="O97" s="2"/>
      <c r="P97" s="11">
        <f>SUBTOTAL(3,_xlfn.SINGLE(tbl_nest[RowId]))</f>
        <v>1</v>
      </c>
    </row>
    <row r="98" spans="10:16">
      <c r="J98" s="4">
        <v>88</v>
      </c>
      <c r="K98" s="20" t="s">
        <v>2821</v>
      </c>
      <c r="L98" s="21" t="str">
        <f t="shared" si="7"/>
        <v>video</v>
      </c>
      <c r="M98" s="2" t="s">
        <v>2810</v>
      </c>
      <c r="N98" s="4">
        <v>4</v>
      </c>
      <c r="O98" s="2" t="s">
        <v>2799</v>
      </c>
      <c r="P98" s="11">
        <f>SUBTOTAL(3,_xlfn.SINGLE(tbl_nest[RowId]))</f>
        <v>1</v>
      </c>
    </row>
    <row r="99" spans="10:16">
      <c r="J99" s="4">
        <v>89</v>
      </c>
      <c r="K99" s="20" t="s">
        <v>2821</v>
      </c>
      <c r="L99" s="21" t="str">
        <f t="shared" si="7"/>
        <v>video</v>
      </c>
      <c r="M99" s="2" t="s">
        <v>2812</v>
      </c>
      <c r="N99" s="4">
        <v>10</v>
      </c>
      <c r="O99" s="2" t="s">
        <v>4046</v>
      </c>
      <c r="P99" s="11">
        <f>SUBTOTAL(3,_xlfn.SINGLE(tbl_nest[RowId]))</f>
        <v>1</v>
      </c>
    </row>
    <row r="100" spans="10:16">
      <c r="J100" s="4">
        <v>90</v>
      </c>
      <c r="K100" s="20" t="s">
        <v>2821</v>
      </c>
      <c r="L100" s="21" t="str">
        <f t="shared" si="7"/>
        <v>video</v>
      </c>
      <c r="M100" s="2" t="s">
        <v>2814</v>
      </c>
      <c r="N100" s="4">
        <v>10</v>
      </c>
      <c r="O100" s="2" t="s">
        <v>4047</v>
      </c>
      <c r="P100" s="11">
        <f>SUBTOTAL(3,_xlfn.SINGLE(tbl_nest[RowId]))</f>
        <v>1</v>
      </c>
    </row>
    <row r="101" spans="10:16">
      <c r="J101" s="4">
        <v>91</v>
      </c>
      <c r="K101" s="20" t="s">
        <v>2821</v>
      </c>
      <c r="L101" s="21" t="str">
        <f t="shared" si="7"/>
        <v>video</v>
      </c>
      <c r="M101" s="2" t="s">
        <v>51</v>
      </c>
      <c r="N101" s="4">
        <v>1</v>
      </c>
      <c r="O101" s="2"/>
      <c r="P101" s="11">
        <f>SUBTOTAL(3,_xlfn.SINGLE(tbl_nest[RowId]))</f>
        <v>1</v>
      </c>
    </row>
    <row r="102" spans="10:16">
      <c r="J102" s="4">
        <v>92</v>
      </c>
      <c r="K102" s="20" t="s">
        <v>2821</v>
      </c>
      <c r="L102" s="21" t="str">
        <f t="shared" si="7"/>
        <v>video</v>
      </c>
      <c r="M102" s="2" t="s">
        <v>2606</v>
      </c>
      <c r="N102" s="4">
        <v>1</v>
      </c>
      <c r="O102" s="2"/>
      <c r="P102" s="11">
        <f>SUBTOTAL(3,_xlfn.SINGLE(tbl_nest[RowId]))</f>
        <v>1</v>
      </c>
    </row>
    <row r="103" spans="10:16">
      <c r="J103" s="4">
        <v>93</v>
      </c>
      <c r="K103" s="20" t="s">
        <v>2821</v>
      </c>
      <c r="L103" s="21" t="str">
        <f t="shared" si="7"/>
        <v>video</v>
      </c>
      <c r="M103" s="2" t="s">
        <v>2826</v>
      </c>
      <c r="N103" s="4">
        <v>1</v>
      </c>
      <c r="O103" s="2"/>
      <c r="P103" s="11">
        <f>SUBTOTAL(3,_xlfn.SINGLE(tbl_nest[RowId]))</f>
        <v>1</v>
      </c>
    </row>
    <row r="104" spans="10:16">
      <c r="J104" s="4">
        <v>94</v>
      </c>
      <c r="K104" s="20" t="s">
        <v>2821</v>
      </c>
      <c r="L104" s="21" t="str">
        <f t="shared" ref="L104:L142" si="8">HYPERLINK("obsidian://open?vault=o2&amp;file=peeps.md","peeps")</f>
        <v>peeps</v>
      </c>
      <c r="M104" s="2" t="s">
        <v>2769</v>
      </c>
      <c r="N104" s="4">
        <v>1</v>
      </c>
      <c r="O104" s="2"/>
      <c r="P104" s="11">
        <f>SUBTOTAL(3,_xlfn.SINGLE(tbl_nest[RowId]))</f>
        <v>1</v>
      </c>
    </row>
    <row r="105" spans="10:16">
      <c r="J105" s="4">
        <v>95</v>
      </c>
      <c r="K105" s="20" t="s">
        <v>2821</v>
      </c>
      <c r="L105" s="21" t="str">
        <f t="shared" si="8"/>
        <v>peeps</v>
      </c>
      <c r="M105" s="2" t="s">
        <v>2772</v>
      </c>
      <c r="N105" s="4">
        <v>1</v>
      </c>
      <c r="O105" s="2"/>
      <c r="P105" s="11">
        <f>SUBTOTAL(3,_xlfn.SINGLE(tbl_nest[RowId]))</f>
        <v>1</v>
      </c>
    </row>
    <row r="106" spans="10:16">
      <c r="J106" s="4">
        <v>96</v>
      </c>
      <c r="K106" s="20" t="s">
        <v>2821</v>
      </c>
      <c r="L106" s="21" t="str">
        <f t="shared" si="8"/>
        <v>peeps</v>
      </c>
      <c r="M106" s="2" t="s">
        <v>2773</v>
      </c>
      <c r="N106" s="4">
        <v>1</v>
      </c>
      <c r="O106" s="2"/>
      <c r="P106" s="11">
        <f>SUBTOTAL(3,_xlfn.SINGLE(tbl_nest[RowId]))</f>
        <v>1</v>
      </c>
    </row>
    <row r="107" spans="10:16">
      <c r="J107" s="4">
        <v>97</v>
      </c>
      <c r="K107" s="20" t="s">
        <v>2821</v>
      </c>
      <c r="L107" s="21" t="str">
        <f t="shared" si="8"/>
        <v>peeps</v>
      </c>
      <c r="M107" s="2" t="s">
        <v>2774</v>
      </c>
      <c r="N107" s="4">
        <v>1</v>
      </c>
      <c r="O107" s="2"/>
      <c r="P107" s="11">
        <f>SUBTOTAL(3,_xlfn.SINGLE(tbl_nest[RowId]))</f>
        <v>1</v>
      </c>
    </row>
    <row r="108" spans="10:16">
      <c r="J108" s="4">
        <v>98</v>
      </c>
      <c r="K108" s="20" t="s">
        <v>2821</v>
      </c>
      <c r="L108" s="21" t="str">
        <f t="shared" si="8"/>
        <v>peeps</v>
      </c>
      <c r="M108" s="2" t="s">
        <v>2782</v>
      </c>
      <c r="N108" s="4">
        <v>30</v>
      </c>
      <c r="O108" s="2" t="s">
        <v>4048</v>
      </c>
      <c r="P108" s="11">
        <f>SUBTOTAL(3,_xlfn.SINGLE(tbl_nest[RowId]))</f>
        <v>1</v>
      </c>
    </row>
    <row r="109" spans="10:16">
      <c r="J109" s="4">
        <v>99</v>
      </c>
      <c r="K109" s="20" t="s">
        <v>2821</v>
      </c>
      <c r="L109" s="21" t="str">
        <f t="shared" si="8"/>
        <v>peeps</v>
      </c>
      <c r="M109" s="2" t="s">
        <v>2784</v>
      </c>
      <c r="N109" s="4">
        <v>30</v>
      </c>
      <c r="O109" s="2" t="s">
        <v>4049</v>
      </c>
      <c r="P109" s="11">
        <f>SUBTOTAL(3,_xlfn.SINGLE(tbl_nest[RowId]))</f>
        <v>1</v>
      </c>
    </row>
    <row r="110" spans="10:16">
      <c r="J110" s="4">
        <v>100</v>
      </c>
      <c r="K110" s="20" t="s">
        <v>2821</v>
      </c>
      <c r="L110" s="21" t="str">
        <f t="shared" si="8"/>
        <v>peeps</v>
      </c>
      <c r="M110" s="2" t="s">
        <v>2788</v>
      </c>
      <c r="N110" s="4">
        <v>2</v>
      </c>
      <c r="O110" s="2" t="s">
        <v>4040</v>
      </c>
      <c r="P110" s="11">
        <f>SUBTOTAL(3,_xlfn.SINGLE(tbl_nest[RowId]))</f>
        <v>1</v>
      </c>
    </row>
    <row r="111" spans="10:16">
      <c r="J111" s="4">
        <v>101</v>
      </c>
      <c r="K111" s="20" t="s">
        <v>2821</v>
      </c>
      <c r="L111" s="21" t="str">
        <f t="shared" si="8"/>
        <v>peeps</v>
      </c>
      <c r="M111" s="2" t="s">
        <v>2845</v>
      </c>
      <c r="N111" s="4">
        <v>2</v>
      </c>
      <c r="O111" s="2" t="s">
        <v>4050</v>
      </c>
      <c r="P111" s="11">
        <f>SUBTOTAL(3,_xlfn.SINGLE(tbl_nest[RowId]))</f>
        <v>1</v>
      </c>
    </row>
    <row r="112" spans="10:16">
      <c r="J112" s="4">
        <v>102</v>
      </c>
      <c r="K112" s="20" t="s">
        <v>2821</v>
      </c>
      <c r="L112" s="21" t="str">
        <f t="shared" si="8"/>
        <v>peeps</v>
      </c>
      <c r="M112" s="2" t="s">
        <v>2791</v>
      </c>
      <c r="N112" s="4">
        <v>2</v>
      </c>
      <c r="O112" s="2" t="s">
        <v>2852</v>
      </c>
      <c r="P112" s="11">
        <f>SUBTOTAL(3,_xlfn.SINGLE(tbl_nest[RowId]))</f>
        <v>1</v>
      </c>
    </row>
    <row r="113" spans="10:16">
      <c r="J113" s="4">
        <v>103</v>
      </c>
      <c r="K113" s="20" t="s">
        <v>2821</v>
      </c>
      <c r="L113" s="21" t="str">
        <f t="shared" si="8"/>
        <v>peeps</v>
      </c>
      <c r="M113" s="2" t="s">
        <v>2849</v>
      </c>
      <c r="N113" s="4">
        <v>1</v>
      </c>
      <c r="O113" s="2"/>
      <c r="P113" s="11">
        <f>SUBTOTAL(3,_xlfn.SINGLE(tbl_nest[RowId]))</f>
        <v>1</v>
      </c>
    </row>
    <row r="114" spans="10:16">
      <c r="J114" s="4">
        <v>104</v>
      </c>
      <c r="K114" s="20" t="s">
        <v>2821</v>
      </c>
      <c r="L114" s="21" t="str">
        <f t="shared" si="8"/>
        <v>peeps</v>
      </c>
      <c r="M114" s="2" t="s">
        <v>2851</v>
      </c>
      <c r="N114" s="4">
        <v>1</v>
      </c>
      <c r="O114" s="2"/>
      <c r="P114" s="11">
        <f>SUBTOTAL(3,_xlfn.SINGLE(tbl_nest[RowId]))</f>
        <v>1</v>
      </c>
    </row>
    <row r="115" spans="10:16">
      <c r="J115" s="4">
        <v>105</v>
      </c>
      <c r="K115" s="20" t="s">
        <v>2821</v>
      </c>
      <c r="L115" s="21" t="str">
        <f t="shared" si="8"/>
        <v>peeps</v>
      </c>
      <c r="M115" s="2" t="s">
        <v>2853</v>
      </c>
      <c r="N115" s="4">
        <v>2</v>
      </c>
      <c r="O115" s="2" t="s">
        <v>4051</v>
      </c>
      <c r="P115" s="11">
        <f>SUBTOTAL(3,_xlfn.SINGLE(tbl_nest[RowId]))</f>
        <v>1</v>
      </c>
    </row>
    <row r="116" spans="10:16">
      <c r="J116" s="4">
        <v>106</v>
      </c>
      <c r="K116" s="20" t="s">
        <v>2821</v>
      </c>
      <c r="L116" s="21" t="str">
        <f t="shared" si="8"/>
        <v>peeps</v>
      </c>
      <c r="M116" s="2" t="s">
        <v>2855</v>
      </c>
      <c r="N116" s="4">
        <v>2</v>
      </c>
      <c r="O116" s="2" t="s">
        <v>2771</v>
      </c>
      <c r="P116" s="11">
        <f>SUBTOTAL(3,_xlfn.SINGLE(tbl_nest[RowId]))</f>
        <v>1</v>
      </c>
    </row>
    <row r="117" spans="10:16">
      <c r="J117" s="4">
        <v>107</v>
      </c>
      <c r="K117" s="20" t="s">
        <v>2821</v>
      </c>
      <c r="L117" s="21" t="str">
        <f t="shared" si="8"/>
        <v>peeps</v>
      </c>
      <c r="M117" s="2" t="s">
        <v>2794</v>
      </c>
      <c r="N117" s="4">
        <v>3</v>
      </c>
      <c r="O117" s="2" t="s">
        <v>4052</v>
      </c>
      <c r="P117" s="11">
        <f>SUBTOTAL(3,_xlfn.SINGLE(tbl_nest[RowId]))</f>
        <v>1</v>
      </c>
    </row>
    <row r="118" spans="10:16">
      <c r="J118" s="4">
        <v>108</v>
      </c>
      <c r="K118" s="20" t="s">
        <v>2821</v>
      </c>
      <c r="L118" s="21" t="str">
        <f t="shared" si="8"/>
        <v>peeps</v>
      </c>
      <c r="M118" s="2" t="s">
        <v>2858</v>
      </c>
      <c r="N118" s="4">
        <v>1</v>
      </c>
      <c r="O118" s="2"/>
      <c r="P118" s="11">
        <f>SUBTOTAL(3,_xlfn.SINGLE(tbl_nest[RowId]))</f>
        <v>1</v>
      </c>
    </row>
    <row r="119" spans="10:16">
      <c r="J119" s="4">
        <v>109</v>
      </c>
      <c r="K119" s="20" t="s">
        <v>2821</v>
      </c>
      <c r="L119" s="21" t="str">
        <f t="shared" si="8"/>
        <v>peeps</v>
      </c>
      <c r="M119" s="2" t="s">
        <v>2800</v>
      </c>
      <c r="N119" s="4">
        <v>1</v>
      </c>
      <c r="O119" s="2"/>
      <c r="P119" s="11">
        <f>SUBTOTAL(3,_xlfn.SINGLE(tbl_nest[RowId]))</f>
        <v>1</v>
      </c>
    </row>
    <row r="120" spans="10:16">
      <c r="J120" s="4">
        <v>110</v>
      </c>
      <c r="K120" s="20" t="s">
        <v>2821</v>
      </c>
      <c r="L120" s="21" t="str">
        <f t="shared" si="8"/>
        <v>peeps</v>
      </c>
      <c r="M120" s="2" t="s">
        <v>2802</v>
      </c>
      <c r="N120" s="4">
        <v>1</v>
      </c>
      <c r="O120" s="2"/>
      <c r="P120" s="11">
        <f>SUBTOTAL(3,_xlfn.SINGLE(tbl_nest[RowId]))</f>
        <v>1</v>
      </c>
    </row>
    <row r="121" spans="10:16">
      <c r="J121" s="4">
        <v>111</v>
      </c>
      <c r="K121" s="20" t="s">
        <v>2821</v>
      </c>
      <c r="L121" s="21" t="str">
        <f t="shared" si="8"/>
        <v>peeps</v>
      </c>
      <c r="M121" s="2" t="s">
        <v>2804</v>
      </c>
      <c r="N121" s="4">
        <v>1</v>
      </c>
      <c r="O121" s="2"/>
      <c r="P121" s="11">
        <f>SUBTOTAL(3,_xlfn.SINGLE(tbl_nest[RowId]))</f>
        <v>1</v>
      </c>
    </row>
    <row r="122" spans="10:16">
      <c r="J122" s="4">
        <v>112</v>
      </c>
      <c r="K122" s="20" t="s">
        <v>2821</v>
      </c>
      <c r="L122" s="21" t="str">
        <f t="shared" si="8"/>
        <v>peeps</v>
      </c>
      <c r="M122" s="2" t="s">
        <v>2810</v>
      </c>
      <c r="N122" s="4">
        <v>2</v>
      </c>
      <c r="O122" s="2" t="s">
        <v>4053</v>
      </c>
      <c r="P122" s="11">
        <f>SUBTOTAL(3,_xlfn.SINGLE(tbl_nest[RowId]))</f>
        <v>1</v>
      </c>
    </row>
    <row r="123" spans="10:16">
      <c r="J123" s="4">
        <v>113</v>
      </c>
      <c r="K123" s="20" t="s">
        <v>2821</v>
      </c>
      <c r="L123" s="21" t="str">
        <f t="shared" si="8"/>
        <v>peeps</v>
      </c>
      <c r="M123" s="2" t="s">
        <v>2812</v>
      </c>
      <c r="N123" s="4">
        <v>30</v>
      </c>
      <c r="O123" s="2" t="s">
        <v>4054</v>
      </c>
      <c r="P123" s="11">
        <f>SUBTOTAL(3,_xlfn.SINGLE(tbl_nest[RowId]))</f>
        <v>1</v>
      </c>
    </row>
    <row r="124" spans="10:16">
      <c r="J124" s="4">
        <v>114</v>
      </c>
      <c r="K124" s="20" t="s">
        <v>2821</v>
      </c>
      <c r="L124" s="21" t="str">
        <f t="shared" si="8"/>
        <v>peeps</v>
      </c>
      <c r="M124" s="2" t="s">
        <v>2865</v>
      </c>
      <c r="N124" s="4">
        <v>1</v>
      </c>
      <c r="O124" s="2"/>
      <c r="P124" s="11">
        <f>SUBTOTAL(3,_xlfn.SINGLE(tbl_nest[RowId]))</f>
        <v>1</v>
      </c>
    </row>
    <row r="125" spans="10:16">
      <c r="J125" s="4">
        <v>115</v>
      </c>
      <c r="K125" s="20" t="s">
        <v>2821</v>
      </c>
      <c r="L125" s="21" t="str">
        <f t="shared" si="8"/>
        <v>peeps</v>
      </c>
      <c r="M125" s="2" t="s">
        <v>2814</v>
      </c>
      <c r="N125" s="4">
        <v>30</v>
      </c>
      <c r="O125" s="2" t="s">
        <v>4055</v>
      </c>
      <c r="P125" s="11">
        <f>SUBTOTAL(3,_xlfn.SINGLE(tbl_nest[RowId]))</f>
        <v>1</v>
      </c>
    </row>
    <row r="126" spans="10:16">
      <c r="J126" s="4">
        <v>116</v>
      </c>
      <c r="K126" s="20" t="s">
        <v>2821</v>
      </c>
      <c r="L126" s="21" t="str">
        <f t="shared" si="8"/>
        <v>peeps</v>
      </c>
      <c r="M126" s="2" t="s">
        <v>2816</v>
      </c>
      <c r="N126" s="4">
        <v>30</v>
      </c>
      <c r="O126" s="2" t="s">
        <v>4056</v>
      </c>
      <c r="P126" s="11">
        <f>SUBTOTAL(3,_xlfn.SINGLE(tbl_nest[RowId]))</f>
        <v>1</v>
      </c>
    </row>
    <row r="127" spans="10:16">
      <c r="J127" s="4">
        <v>117</v>
      </c>
      <c r="K127" s="20" t="s">
        <v>2821</v>
      </c>
      <c r="L127" s="21" t="str">
        <f t="shared" si="8"/>
        <v>peeps</v>
      </c>
      <c r="M127" s="2" t="s">
        <v>2819</v>
      </c>
      <c r="N127" s="4">
        <v>1</v>
      </c>
      <c r="O127" s="2"/>
      <c r="P127" s="11">
        <f>SUBTOTAL(3,_xlfn.SINGLE(tbl_nest[RowId]))</f>
        <v>1</v>
      </c>
    </row>
    <row r="128" spans="10:16">
      <c r="J128" s="4">
        <v>118</v>
      </c>
      <c r="K128" s="20" t="s">
        <v>2821</v>
      </c>
      <c r="L128" s="21" t="str">
        <f t="shared" si="8"/>
        <v>peeps</v>
      </c>
      <c r="M128" s="2" t="s">
        <v>44</v>
      </c>
      <c r="N128" s="4">
        <v>1</v>
      </c>
      <c r="O128" s="2"/>
      <c r="P128" s="11">
        <f>SUBTOTAL(3,_xlfn.SINGLE(tbl_nest[RowId]))</f>
        <v>1</v>
      </c>
    </row>
    <row r="129" spans="10:16">
      <c r="J129" s="4">
        <v>119</v>
      </c>
      <c r="K129" s="20" t="s">
        <v>2821</v>
      </c>
      <c r="L129" s="21" t="str">
        <f t="shared" si="8"/>
        <v>peeps</v>
      </c>
      <c r="M129" s="2" t="s">
        <v>49</v>
      </c>
      <c r="N129" s="4">
        <v>1</v>
      </c>
      <c r="O129" s="2"/>
      <c r="P129" s="11">
        <f>SUBTOTAL(3,_xlfn.SINGLE(tbl_nest[RowId]))</f>
        <v>1</v>
      </c>
    </row>
    <row r="130" spans="10:16">
      <c r="J130" s="4">
        <v>120</v>
      </c>
      <c r="K130" s="20" t="s">
        <v>2821</v>
      </c>
      <c r="L130" s="21" t="str">
        <f t="shared" si="8"/>
        <v>peeps</v>
      </c>
      <c r="M130" s="2" t="s">
        <v>51</v>
      </c>
      <c r="N130" s="4">
        <v>1</v>
      </c>
      <c r="O130" s="2"/>
      <c r="P130" s="11">
        <f>SUBTOTAL(3,_xlfn.SINGLE(tbl_nest[RowId]))</f>
        <v>1</v>
      </c>
    </row>
    <row r="131" spans="10:16">
      <c r="J131" s="4">
        <v>121</v>
      </c>
      <c r="K131" s="20" t="s">
        <v>2821</v>
      </c>
      <c r="L131" s="21" t="str">
        <f t="shared" si="8"/>
        <v>peeps</v>
      </c>
      <c r="M131" s="2" t="s">
        <v>2871</v>
      </c>
      <c r="N131" s="4">
        <v>1</v>
      </c>
      <c r="O131" s="2"/>
      <c r="P131" s="11">
        <f>SUBTOTAL(3,_xlfn.SINGLE(tbl_nest[RowId]))</f>
        <v>1</v>
      </c>
    </row>
    <row r="132" spans="10:16">
      <c r="J132" s="4">
        <v>122</v>
      </c>
      <c r="K132" s="20" t="s">
        <v>2821</v>
      </c>
      <c r="L132" s="21" t="str">
        <f t="shared" si="8"/>
        <v>peeps</v>
      </c>
      <c r="M132" s="2" t="s">
        <v>2872</v>
      </c>
      <c r="N132" s="4">
        <v>33</v>
      </c>
      <c r="O132" s="2" t="s">
        <v>4057</v>
      </c>
      <c r="P132" s="11">
        <f>SUBTOTAL(3,_xlfn.SINGLE(tbl_nest[RowId]))</f>
        <v>1</v>
      </c>
    </row>
    <row r="133" spans="10:16">
      <c r="J133" s="4">
        <v>123</v>
      </c>
      <c r="K133" s="20" t="s">
        <v>2821</v>
      </c>
      <c r="L133" s="21" t="str">
        <f t="shared" si="8"/>
        <v>peeps</v>
      </c>
      <c r="M133" s="2" t="s">
        <v>2874</v>
      </c>
      <c r="N133" s="4">
        <v>33</v>
      </c>
      <c r="O133" s="2" t="s">
        <v>4058</v>
      </c>
      <c r="P133" s="11">
        <f>SUBTOTAL(3,_xlfn.SINGLE(tbl_nest[RowId]))</f>
        <v>1</v>
      </c>
    </row>
    <row r="134" spans="10:16">
      <c r="J134" s="4">
        <v>124</v>
      </c>
      <c r="K134" s="20" t="s">
        <v>2821</v>
      </c>
      <c r="L134" s="21" t="str">
        <f t="shared" si="8"/>
        <v>peeps</v>
      </c>
      <c r="M134" s="2" t="s">
        <v>2876</v>
      </c>
      <c r="N134" s="4">
        <v>33</v>
      </c>
      <c r="O134" s="2" t="s">
        <v>4059</v>
      </c>
      <c r="P134" s="11">
        <f>SUBTOTAL(3,_xlfn.SINGLE(tbl_nest[RowId]))</f>
        <v>1</v>
      </c>
    </row>
    <row r="135" spans="10:16">
      <c r="J135" s="4">
        <v>125</v>
      </c>
      <c r="K135" s="20" t="s">
        <v>2821</v>
      </c>
      <c r="L135" s="21" t="str">
        <f t="shared" si="8"/>
        <v>peeps</v>
      </c>
      <c r="M135" s="2" t="s">
        <v>2878</v>
      </c>
      <c r="N135" s="4">
        <v>33</v>
      </c>
      <c r="O135" s="2" t="s">
        <v>4060</v>
      </c>
      <c r="P135" s="11">
        <f>SUBTOTAL(3,_xlfn.SINGLE(tbl_nest[RowId]))</f>
        <v>1</v>
      </c>
    </row>
    <row r="136" spans="10:16">
      <c r="J136" s="4">
        <v>126</v>
      </c>
      <c r="K136" s="20" t="s">
        <v>2821</v>
      </c>
      <c r="L136" s="21" t="str">
        <f t="shared" si="8"/>
        <v>peeps</v>
      </c>
      <c r="M136" s="2" t="s">
        <v>2880</v>
      </c>
      <c r="N136" s="4">
        <v>33</v>
      </c>
      <c r="O136" s="2" t="s">
        <v>4058</v>
      </c>
      <c r="P136" s="11">
        <f>SUBTOTAL(3,_xlfn.SINGLE(tbl_nest[RowId]))</f>
        <v>1</v>
      </c>
    </row>
    <row r="137" spans="10:16">
      <c r="J137" s="4">
        <v>127</v>
      </c>
      <c r="K137" s="20" t="s">
        <v>2821</v>
      </c>
      <c r="L137" s="21" t="str">
        <f t="shared" si="8"/>
        <v>peeps</v>
      </c>
      <c r="M137" s="2" t="s">
        <v>2881</v>
      </c>
      <c r="N137" s="4">
        <v>33</v>
      </c>
      <c r="O137" s="2" t="s">
        <v>4059</v>
      </c>
      <c r="P137" s="11">
        <f>SUBTOTAL(3,_xlfn.SINGLE(tbl_nest[RowId]))</f>
        <v>1</v>
      </c>
    </row>
    <row r="138" spans="10:16">
      <c r="J138" s="4">
        <v>128</v>
      </c>
      <c r="K138" s="20" t="s">
        <v>2821</v>
      </c>
      <c r="L138" s="21" t="str">
        <f t="shared" si="8"/>
        <v>peeps</v>
      </c>
      <c r="M138" s="2" t="s">
        <v>2882</v>
      </c>
      <c r="N138" s="4">
        <v>33</v>
      </c>
      <c r="O138" s="2" t="s">
        <v>4061</v>
      </c>
      <c r="P138" s="11">
        <f>SUBTOTAL(3,_xlfn.SINGLE(tbl_nest[RowId]))</f>
        <v>1</v>
      </c>
    </row>
    <row r="139" spans="10:16">
      <c r="J139" s="4">
        <v>129</v>
      </c>
      <c r="K139" s="20" t="s">
        <v>2821</v>
      </c>
      <c r="L139" s="21" t="str">
        <f t="shared" si="8"/>
        <v>peeps</v>
      </c>
      <c r="M139" s="2" t="s">
        <v>2884</v>
      </c>
      <c r="N139" s="4">
        <v>1</v>
      </c>
      <c r="O139" s="2"/>
      <c r="P139" s="11">
        <f>SUBTOTAL(3,_xlfn.SINGLE(tbl_nest[RowId]))</f>
        <v>1</v>
      </c>
    </row>
    <row r="140" spans="10:16">
      <c r="J140" s="4">
        <v>130</v>
      </c>
      <c r="K140" s="20" t="s">
        <v>2821</v>
      </c>
      <c r="L140" s="21" t="str">
        <f t="shared" si="8"/>
        <v>peeps</v>
      </c>
      <c r="M140" s="2" t="s">
        <v>2886</v>
      </c>
      <c r="N140" s="4">
        <v>1</v>
      </c>
      <c r="O140" s="2"/>
      <c r="P140" s="11">
        <f>SUBTOTAL(3,_xlfn.SINGLE(tbl_nest[RowId]))</f>
        <v>1</v>
      </c>
    </row>
    <row r="141" spans="10:16">
      <c r="J141" s="4">
        <v>131</v>
      </c>
      <c r="K141" s="20" t="s">
        <v>2821</v>
      </c>
      <c r="L141" s="21" t="str">
        <f t="shared" si="8"/>
        <v>peeps</v>
      </c>
      <c r="M141" s="2" t="s">
        <v>2824</v>
      </c>
      <c r="N141" s="4">
        <v>1</v>
      </c>
      <c r="O141" s="2"/>
      <c r="P141" s="11">
        <f>SUBTOTAL(3,_xlfn.SINGLE(tbl_nest[RowId]))</f>
        <v>1</v>
      </c>
    </row>
    <row r="142" spans="10:16">
      <c r="J142" s="4">
        <v>132</v>
      </c>
      <c r="K142" s="20" t="s">
        <v>2821</v>
      </c>
      <c r="L142" s="21" t="str">
        <f t="shared" si="8"/>
        <v>peeps</v>
      </c>
      <c r="M142" s="2" t="s">
        <v>2826</v>
      </c>
      <c r="N142" s="4">
        <v>1</v>
      </c>
      <c r="O142" s="2"/>
      <c r="P142" s="11">
        <f>SUBTOTAL(3,_xlfn.SINGLE(tbl_nest[RowId]))</f>
        <v>1</v>
      </c>
    </row>
    <row r="143" spans="10:16">
      <c r="J143" s="4">
        <v>133</v>
      </c>
      <c r="K143" s="20" t="s">
        <v>2821</v>
      </c>
      <c r="L143" s="21" t="str">
        <f t="shared" ref="L143:L173" si="9">HYPERLINK("obsidian://open?vault=o2&amp;file=person.md","person")</f>
        <v>person</v>
      </c>
      <c r="M143" s="2" t="s">
        <v>2769</v>
      </c>
      <c r="N143" s="4">
        <v>1</v>
      </c>
      <c r="O143" s="2"/>
      <c r="P143" s="11">
        <f>SUBTOTAL(3,_xlfn.SINGLE(tbl_nest[RowId]))</f>
        <v>1</v>
      </c>
    </row>
    <row r="144" spans="10:16">
      <c r="J144" s="4">
        <v>134</v>
      </c>
      <c r="K144" s="20" t="s">
        <v>2821</v>
      </c>
      <c r="L144" s="21" t="str">
        <f t="shared" si="9"/>
        <v>person</v>
      </c>
      <c r="M144" s="2" t="s">
        <v>2772</v>
      </c>
      <c r="N144" s="4">
        <v>1</v>
      </c>
      <c r="O144" s="2"/>
      <c r="P144" s="11">
        <f>SUBTOTAL(3,_xlfn.SINGLE(tbl_nest[RowId]))</f>
        <v>1</v>
      </c>
    </row>
    <row r="145" spans="10:16">
      <c r="J145" s="4">
        <v>135</v>
      </c>
      <c r="K145" s="20" t="s">
        <v>2821</v>
      </c>
      <c r="L145" s="21" t="str">
        <f t="shared" si="9"/>
        <v>person</v>
      </c>
      <c r="M145" s="2" t="s">
        <v>2773</v>
      </c>
      <c r="N145" s="4">
        <v>1</v>
      </c>
      <c r="O145" s="2"/>
      <c r="P145" s="11">
        <f>SUBTOTAL(3,_xlfn.SINGLE(tbl_nest[RowId]))</f>
        <v>1</v>
      </c>
    </row>
    <row r="146" spans="10:16">
      <c r="J146" s="4">
        <v>136</v>
      </c>
      <c r="K146" s="20" t="s">
        <v>2821</v>
      </c>
      <c r="L146" s="21" t="str">
        <f t="shared" si="9"/>
        <v>person</v>
      </c>
      <c r="M146" s="2" t="s">
        <v>2774</v>
      </c>
      <c r="N146" s="4">
        <v>1</v>
      </c>
      <c r="O146" s="2"/>
      <c r="P146" s="11">
        <f>SUBTOTAL(3,_xlfn.SINGLE(tbl_nest[RowId]))</f>
        <v>1</v>
      </c>
    </row>
    <row r="147" spans="10:16">
      <c r="J147" s="4">
        <v>137</v>
      </c>
      <c r="K147" s="20" t="s">
        <v>2821</v>
      </c>
      <c r="L147" s="21" t="str">
        <f t="shared" si="9"/>
        <v>person</v>
      </c>
      <c r="M147" s="2" t="s">
        <v>2782</v>
      </c>
      <c r="N147" s="4">
        <v>10</v>
      </c>
      <c r="O147" s="2" t="s">
        <v>4062</v>
      </c>
      <c r="P147" s="11">
        <f>SUBTOTAL(3,_xlfn.SINGLE(tbl_nest[RowId]))</f>
        <v>1</v>
      </c>
    </row>
    <row r="148" spans="10:16">
      <c r="J148" s="4">
        <v>138</v>
      </c>
      <c r="K148" s="20" t="s">
        <v>2821</v>
      </c>
      <c r="L148" s="21" t="str">
        <f t="shared" si="9"/>
        <v>person</v>
      </c>
      <c r="M148" s="2" t="s">
        <v>2784</v>
      </c>
      <c r="N148" s="4">
        <v>10</v>
      </c>
      <c r="O148" s="2" t="s">
        <v>4063</v>
      </c>
      <c r="P148" s="11">
        <f>SUBTOTAL(3,_xlfn.SINGLE(tbl_nest[RowId]))</f>
        <v>1</v>
      </c>
    </row>
    <row r="149" spans="10:16">
      <c r="J149" s="4">
        <v>139</v>
      </c>
      <c r="K149" s="20" t="s">
        <v>2821</v>
      </c>
      <c r="L149" s="21" t="str">
        <f t="shared" si="9"/>
        <v>person</v>
      </c>
      <c r="M149" s="2" t="s">
        <v>2794</v>
      </c>
      <c r="N149" s="4">
        <v>5</v>
      </c>
      <c r="O149" s="2" t="s">
        <v>4064</v>
      </c>
      <c r="P149" s="11">
        <f>SUBTOTAL(3,_xlfn.SINGLE(tbl_nest[RowId]))</f>
        <v>1</v>
      </c>
    </row>
    <row r="150" spans="10:16">
      <c r="J150" s="4">
        <v>140</v>
      </c>
      <c r="K150" s="20" t="s">
        <v>2821</v>
      </c>
      <c r="L150" s="21" t="str">
        <f t="shared" si="9"/>
        <v>person</v>
      </c>
      <c r="M150" s="2" t="s">
        <v>2797</v>
      </c>
      <c r="N150" s="4">
        <v>1</v>
      </c>
      <c r="O150" s="2"/>
      <c r="P150" s="11">
        <f>SUBTOTAL(3,_xlfn.SINGLE(tbl_nest[RowId]))</f>
        <v>1</v>
      </c>
    </row>
    <row r="151" spans="10:16">
      <c r="J151" s="4">
        <v>141</v>
      </c>
      <c r="K151" s="20" t="s">
        <v>2821</v>
      </c>
      <c r="L151" s="21" t="str">
        <f t="shared" si="9"/>
        <v>person</v>
      </c>
      <c r="M151" s="2" t="s">
        <v>2800</v>
      </c>
      <c r="N151" s="4">
        <v>3</v>
      </c>
      <c r="O151" s="2" t="s">
        <v>4065</v>
      </c>
      <c r="P151" s="11">
        <f>SUBTOTAL(3,_xlfn.SINGLE(tbl_nest[RowId]))</f>
        <v>1</v>
      </c>
    </row>
    <row r="152" spans="10:16">
      <c r="J152" s="4">
        <v>142</v>
      </c>
      <c r="K152" s="20" t="s">
        <v>2821</v>
      </c>
      <c r="L152" s="21" t="str">
        <f t="shared" si="9"/>
        <v>person</v>
      </c>
      <c r="M152" s="2" t="s">
        <v>2892</v>
      </c>
      <c r="N152" s="4">
        <v>1</v>
      </c>
      <c r="O152" s="2"/>
      <c r="P152" s="11">
        <f>SUBTOTAL(3,_xlfn.SINGLE(tbl_nest[RowId]))</f>
        <v>1</v>
      </c>
    </row>
    <row r="153" spans="10:16">
      <c r="J153" s="4">
        <v>143</v>
      </c>
      <c r="K153" s="20" t="s">
        <v>2821</v>
      </c>
      <c r="L153" s="21" t="str">
        <f t="shared" si="9"/>
        <v>person</v>
      </c>
      <c r="M153" s="2" t="s">
        <v>2894</v>
      </c>
      <c r="N153" s="4">
        <v>1</v>
      </c>
      <c r="O153" s="2"/>
      <c r="P153" s="11">
        <f>SUBTOTAL(3,_xlfn.SINGLE(tbl_nest[RowId]))</f>
        <v>1</v>
      </c>
    </row>
    <row r="154" spans="10:16">
      <c r="J154" s="4">
        <v>144</v>
      </c>
      <c r="K154" s="20" t="s">
        <v>2821</v>
      </c>
      <c r="L154" s="21" t="str">
        <f t="shared" si="9"/>
        <v>person</v>
      </c>
      <c r="M154" s="2" t="s">
        <v>2896</v>
      </c>
      <c r="N154" s="4">
        <v>1</v>
      </c>
      <c r="O154" s="2"/>
      <c r="P154" s="11">
        <f>SUBTOTAL(3,_xlfn.SINGLE(tbl_nest[RowId]))</f>
        <v>1</v>
      </c>
    </row>
    <row r="155" spans="10:16">
      <c r="J155" s="4">
        <v>145</v>
      </c>
      <c r="K155" s="20" t="s">
        <v>2821</v>
      </c>
      <c r="L155" s="21" t="str">
        <f t="shared" si="9"/>
        <v>person</v>
      </c>
      <c r="M155" s="2" t="s">
        <v>2802</v>
      </c>
      <c r="N155" s="4">
        <v>4</v>
      </c>
      <c r="O155" s="2" t="s">
        <v>4066</v>
      </c>
      <c r="P155" s="11">
        <f>SUBTOTAL(3,_xlfn.SINGLE(tbl_nest[RowId]))</f>
        <v>1</v>
      </c>
    </row>
    <row r="156" spans="10:16">
      <c r="J156" s="4">
        <v>146</v>
      </c>
      <c r="K156" s="20" t="s">
        <v>2821</v>
      </c>
      <c r="L156" s="21" t="str">
        <f t="shared" si="9"/>
        <v>person</v>
      </c>
      <c r="M156" s="2" t="s">
        <v>2804</v>
      </c>
      <c r="N156" s="4">
        <v>3</v>
      </c>
      <c r="O156" s="2" t="s">
        <v>4067</v>
      </c>
      <c r="P156" s="11">
        <f>SUBTOTAL(3,_xlfn.SINGLE(tbl_nest[RowId]))</f>
        <v>1</v>
      </c>
    </row>
    <row r="157" spans="10:16">
      <c r="J157" s="4">
        <v>147</v>
      </c>
      <c r="K157" s="20" t="s">
        <v>2821</v>
      </c>
      <c r="L157" s="21" t="str">
        <f t="shared" si="9"/>
        <v>person</v>
      </c>
      <c r="M157" s="2" t="s">
        <v>2806</v>
      </c>
      <c r="N157" s="4">
        <v>3</v>
      </c>
      <c r="O157" s="2" t="s">
        <v>4068</v>
      </c>
      <c r="P157" s="11">
        <f>SUBTOTAL(3,_xlfn.SINGLE(tbl_nest[RowId]))</f>
        <v>1</v>
      </c>
    </row>
    <row r="158" spans="10:16">
      <c r="J158" s="4">
        <v>148</v>
      </c>
      <c r="K158" s="20" t="s">
        <v>2821</v>
      </c>
      <c r="L158" s="21" t="str">
        <f t="shared" si="9"/>
        <v>person</v>
      </c>
      <c r="M158" s="2" t="s">
        <v>2808</v>
      </c>
      <c r="N158" s="4">
        <v>2</v>
      </c>
      <c r="O158" s="2" t="s">
        <v>4069</v>
      </c>
      <c r="P158" s="11">
        <f>SUBTOTAL(3,_xlfn.SINGLE(tbl_nest[RowId]))</f>
        <v>1</v>
      </c>
    </row>
    <row r="159" spans="10:16">
      <c r="J159" s="4">
        <v>149</v>
      </c>
      <c r="K159" s="20" t="s">
        <v>2821</v>
      </c>
      <c r="L159" s="21" t="str">
        <f t="shared" si="9"/>
        <v>person</v>
      </c>
      <c r="M159" s="2" t="s">
        <v>2902</v>
      </c>
      <c r="N159" s="4">
        <v>2</v>
      </c>
      <c r="O159" s="2" t="s">
        <v>4070</v>
      </c>
      <c r="P159" s="11">
        <f>SUBTOTAL(3,_xlfn.SINGLE(tbl_nest[RowId]))</f>
        <v>1</v>
      </c>
    </row>
    <row r="160" spans="10:16">
      <c r="J160" s="4">
        <v>150</v>
      </c>
      <c r="K160" s="20" t="s">
        <v>2821</v>
      </c>
      <c r="L160" s="21" t="str">
        <f t="shared" si="9"/>
        <v>person</v>
      </c>
      <c r="M160" s="2" t="s">
        <v>2904</v>
      </c>
      <c r="N160" s="4">
        <v>1</v>
      </c>
      <c r="O160" s="2"/>
      <c r="P160" s="11">
        <f>SUBTOTAL(3,_xlfn.SINGLE(tbl_nest[RowId]))</f>
        <v>1</v>
      </c>
    </row>
    <row r="161" spans="10:16">
      <c r="J161" s="4">
        <v>151</v>
      </c>
      <c r="K161" s="20" t="s">
        <v>2821</v>
      </c>
      <c r="L161" s="21" t="str">
        <f t="shared" si="9"/>
        <v>person</v>
      </c>
      <c r="M161" s="2" t="s">
        <v>2906</v>
      </c>
      <c r="N161" s="4">
        <v>1</v>
      </c>
      <c r="O161" s="2"/>
      <c r="P161" s="11">
        <f>SUBTOTAL(3,_xlfn.SINGLE(tbl_nest[RowId]))</f>
        <v>1</v>
      </c>
    </row>
    <row r="162" spans="10:16">
      <c r="J162" s="4">
        <v>152</v>
      </c>
      <c r="K162" s="20" t="s">
        <v>2821</v>
      </c>
      <c r="L162" s="21" t="str">
        <f t="shared" si="9"/>
        <v>person</v>
      </c>
      <c r="M162" s="2" t="s">
        <v>2908</v>
      </c>
      <c r="N162" s="4">
        <v>1</v>
      </c>
      <c r="O162" s="2"/>
      <c r="P162" s="11">
        <f>SUBTOTAL(3,_xlfn.SINGLE(tbl_nest[RowId]))</f>
        <v>1</v>
      </c>
    </row>
    <row r="163" spans="10:16">
      <c r="J163" s="4">
        <v>153</v>
      </c>
      <c r="K163" s="20" t="s">
        <v>2821</v>
      </c>
      <c r="L163" s="21" t="str">
        <f t="shared" si="9"/>
        <v>person</v>
      </c>
      <c r="M163" s="2" t="s">
        <v>2810</v>
      </c>
      <c r="N163" s="4">
        <v>2</v>
      </c>
      <c r="O163" s="2" t="s">
        <v>4071</v>
      </c>
      <c r="P163" s="11">
        <f>SUBTOTAL(3,_xlfn.SINGLE(tbl_nest[RowId]))</f>
        <v>1</v>
      </c>
    </row>
    <row r="164" spans="10:16">
      <c r="J164" s="4">
        <v>154</v>
      </c>
      <c r="K164" s="20" t="s">
        <v>2821</v>
      </c>
      <c r="L164" s="21" t="str">
        <f t="shared" si="9"/>
        <v>person</v>
      </c>
      <c r="M164" s="2" t="s">
        <v>2812</v>
      </c>
      <c r="N164" s="4">
        <v>10</v>
      </c>
      <c r="O164" s="2" t="s">
        <v>4046</v>
      </c>
      <c r="P164" s="11">
        <f>SUBTOTAL(3,_xlfn.SINGLE(tbl_nest[RowId]))</f>
        <v>1</v>
      </c>
    </row>
    <row r="165" spans="10:16">
      <c r="J165" s="4">
        <v>155</v>
      </c>
      <c r="K165" s="20" t="s">
        <v>2821</v>
      </c>
      <c r="L165" s="21" t="str">
        <f t="shared" si="9"/>
        <v>person</v>
      </c>
      <c r="M165" s="2" t="s">
        <v>2814</v>
      </c>
      <c r="N165" s="4">
        <v>10</v>
      </c>
      <c r="O165" s="2" t="s">
        <v>4072</v>
      </c>
      <c r="P165" s="11">
        <f>SUBTOTAL(3,_xlfn.SINGLE(tbl_nest[RowId]))</f>
        <v>1</v>
      </c>
    </row>
    <row r="166" spans="10:16">
      <c r="J166" s="4">
        <v>156</v>
      </c>
      <c r="K166" s="20" t="s">
        <v>2821</v>
      </c>
      <c r="L166" s="21" t="str">
        <f t="shared" si="9"/>
        <v>person</v>
      </c>
      <c r="M166" s="2" t="s">
        <v>2816</v>
      </c>
      <c r="N166" s="4">
        <v>10</v>
      </c>
      <c r="O166" s="2" t="s">
        <v>4073</v>
      </c>
      <c r="P166" s="11">
        <f>SUBTOTAL(3,_xlfn.SINGLE(tbl_nest[RowId]))</f>
        <v>1</v>
      </c>
    </row>
    <row r="167" spans="10:16">
      <c r="J167" s="4">
        <v>157</v>
      </c>
      <c r="K167" s="20" t="s">
        <v>2821</v>
      </c>
      <c r="L167" s="21" t="str">
        <f t="shared" si="9"/>
        <v>person</v>
      </c>
      <c r="M167" s="2" t="s">
        <v>2819</v>
      </c>
      <c r="N167" s="4">
        <v>1</v>
      </c>
      <c r="O167" s="2"/>
      <c r="P167" s="11">
        <f>SUBTOTAL(3,_xlfn.SINGLE(tbl_nest[RowId]))</f>
        <v>1</v>
      </c>
    </row>
    <row r="168" spans="10:16">
      <c r="J168" s="4">
        <v>158</v>
      </c>
      <c r="K168" s="20" t="s">
        <v>2821</v>
      </c>
      <c r="L168" s="21" t="str">
        <f t="shared" si="9"/>
        <v>person</v>
      </c>
      <c r="M168" s="2" t="s">
        <v>44</v>
      </c>
      <c r="N168" s="4">
        <v>1</v>
      </c>
      <c r="O168" s="2"/>
      <c r="P168" s="11">
        <f>SUBTOTAL(3,_xlfn.SINGLE(tbl_nest[RowId]))</f>
        <v>1</v>
      </c>
    </row>
    <row r="169" spans="10:16">
      <c r="J169" s="4">
        <v>159</v>
      </c>
      <c r="K169" s="20" t="s">
        <v>2821</v>
      </c>
      <c r="L169" s="21" t="str">
        <f t="shared" si="9"/>
        <v>person</v>
      </c>
      <c r="M169" s="2" t="s">
        <v>49</v>
      </c>
      <c r="N169" s="4">
        <v>1</v>
      </c>
      <c r="O169" s="2"/>
      <c r="P169" s="11">
        <f>SUBTOTAL(3,_xlfn.SINGLE(tbl_nest[RowId]))</f>
        <v>1</v>
      </c>
    </row>
    <row r="170" spans="10:16">
      <c r="J170" s="4">
        <v>160</v>
      </c>
      <c r="K170" s="20" t="s">
        <v>2821</v>
      </c>
      <c r="L170" s="21" t="str">
        <f t="shared" si="9"/>
        <v>person</v>
      </c>
      <c r="M170" s="2" t="s">
        <v>51</v>
      </c>
      <c r="N170" s="4">
        <v>1</v>
      </c>
      <c r="O170" s="2"/>
      <c r="P170" s="11">
        <f>SUBTOTAL(3,_xlfn.SINGLE(tbl_nest[RowId]))</f>
        <v>1</v>
      </c>
    </row>
    <row r="171" spans="10:16">
      <c r="J171" s="4">
        <v>161</v>
      </c>
      <c r="K171" s="20" t="s">
        <v>2821</v>
      </c>
      <c r="L171" s="21" t="str">
        <f t="shared" si="9"/>
        <v>person</v>
      </c>
      <c r="M171" s="2" t="s">
        <v>2822</v>
      </c>
      <c r="N171" s="4">
        <v>1</v>
      </c>
      <c r="O171" s="2"/>
      <c r="P171" s="11">
        <f>SUBTOTAL(3,_xlfn.SINGLE(tbl_nest[RowId]))</f>
        <v>1</v>
      </c>
    </row>
    <row r="172" spans="10:16">
      <c r="J172" s="4">
        <v>162</v>
      </c>
      <c r="K172" s="20" t="s">
        <v>2821</v>
      </c>
      <c r="L172" s="21" t="str">
        <f t="shared" si="9"/>
        <v>person</v>
      </c>
      <c r="M172" s="2" t="s">
        <v>2824</v>
      </c>
      <c r="N172" s="4">
        <v>1</v>
      </c>
      <c r="O172" s="2"/>
      <c r="P172" s="11">
        <f>SUBTOTAL(3,_xlfn.SINGLE(tbl_nest[RowId]))</f>
        <v>1</v>
      </c>
    </row>
    <row r="173" spans="10:16">
      <c r="J173" s="4">
        <v>163</v>
      </c>
      <c r="K173" s="20" t="s">
        <v>2821</v>
      </c>
      <c r="L173" s="21" t="str">
        <f t="shared" si="9"/>
        <v>person</v>
      </c>
      <c r="M173" s="2" t="s">
        <v>2826</v>
      </c>
      <c r="N173" s="4">
        <v>1</v>
      </c>
      <c r="O173" s="2"/>
      <c r="P173" s="11">
        <f>SUBTOTAL(3,_xlfn.SINGLE(tbl_nest[RowId]))</f>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Summary</vt:lpstr>
      <vt:lpstr>Properties</vt:lpstr>
      <vt:lpstr>Values</vt:lpstr>
      <vt:lpstr>Tags</vt:lpstr>
      <vt:lpstr>Files</vt:lpstr>
      <vt:lpstr>Code</vt:lpstr>
      <vt:lpstr>Xyml</vt:lpstr>
      <vt:lpstr>Duplicates</vt:lpstr>
      <vt:lpstr>Nests</vt:lpstr>
      <vt:lpstr>Plugins</vt:lpstr>
      <vt:lpstr>Area51</vt:lpstr>
      <vt:lpstr>Sheet1</vt:lpstr>
      <vt:lpstr>ColorStudy</vt:lpstr>
      <vt:lpstr>ColorStudy!FP</vt:lpstr>
      <vt:lpstr>FP</vt:lpstr>
      <vt:lpstr>FulP</vt:lpstr>
      <vt:lpstr>Summary!Print_Area</vt:lpstr>
      <vt:lpstr>ColorStudy!quo</vt:lpstr>
      <vt:lpstr>quo</vt:lpstr>
      <vt:lpstr>tots_files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swen larsen</cp:lastModifiedBy>
  <cp:lastPrinted>2025-04-29T00:33:01Z</cp:lastPrinted>
  <dcterms:created xsi:type="dcterms:W3CDTF">2025-04-25T01:12:37Z</dcterms:created>
  <dcterms:modified xsi:type="dcterms:W3CDTF">2025-05-22T13:51:46Z</dcterms:modified>
</cp:coreProperties>
</file>