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ae7835bc9d2c4d/Desktop/"/>
    </mc:Choice>
  </mc:AlternateContent>
  <xr:revisionPtr revIDLastSave="518" documentId="8_{29F8CB44-6385-4367-90BC-530F15327FFF}" xr6:coauthVersionLast="46" xr6:coauthVersionMax="46" xr10:uidLastSave="{1D71A5D0-D7E2-427E-8424-1B0D7F80C5EA}"/>
  <bookViews>
    <workbookView xWindow="-110" yWindow="-110" windowWidth="19420" windowHeight="10420" activeTab="9" xr2:uid="{011EEE82-27A8-4D35-ACB3-E0118E4D60F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9" l="1"/>
  <c r="G24" i="9"/>
  <c r="H23" i="9"/>
  <c r="G23" i="9"/>
  <c r="H22" i="9"/>
  <c r="G22" i="9"/>
  <c r="H21" i="9"/>
  <c r="G21" i="9"/>
  <c r="G17" i="9"/>
  <c r="H17" i="9"/>
  <c r="H18" i="9"/>
  <c r="G18" i="9"/>
  <c r="H19" i="9"/>
  <c r="G19" i="9"/>
  <c r="H20" i="9"/>
  <c r="G20" i="9"/>
  <c r="H16" i="9"/>
  <c r="G16" i="9"/>
  <c r="G15" i="9"/>
  <c r="H15" i="9"/>
  <c r="H14" i="9"/>
  <c r="G14" i="9"/>
  <c r="G13" i="9"/>
  <c r="H13" i="9"/>
  <c r="H11" i="9"/>
  <c r="G11" i="9"/>
  <c r="H12" i="9"/>
  <c r="G12" i="9"/>
  <c r="G10" i="9"/>
  <c r="H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G5" i="8"/>
  <c r="H5" i="8"/>
  <c r="H6" i="8"/>
  <c r="G6" i="8"/>
  <c r="G4" i="8"/>
  <c r="H4" i="8"/>
  <c r="G3" i="8"/>
  <c r="H2" i="8"/>
  <c r="G2" i="8"/>
  <c r="H2" i="7"/>
  <c r="G2" i="7"/>
  <c r="H3" i="7"/>
  <c r="G3" i="7"/>
  <c r="H4" i="7"/>
  <c r="G4" i="7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21" i="7"/>
  <c r="G21" i="7"/>
  <c r="H20" i="7"/>
  <c r="G20" i="7"/>
  <c r="G19" i="7"/>
  <c r="H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21" i="6"/>
  <c r="G21" i="6"/>
  <c r="H19" i="6"/>
  <c r="H20" i="6"/>
  <c r="G20" i="6"/>
  <c r="G19" i="6"/>
  <c r="H18" i="6"/>
  <c r="G18" i="6"/>
  <c r="H17" i="6"/>
  <c r="G17" i="6"/>
  <c r="H16" i="6"/>
  <c r="G16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7" i="2"/>
  <c r="G7" i="2"/>
  <c r="H6" i="2"/>
  <c r="G6" i="2"/>
  <c r="H5" i="2"/>
  <c r="G5" i="2"/>
  <c r="H4" i="2"/>
  <c r="G4" i="2"/>
  <c r="H3" i="2"/>
  <c r="G3" i="2"/>
  <c r="H2" i="2"/>
  <c r="G2" i="2"/>
  <c r="H2" i="5"/>
  <c r="G2" i="5"/>
  <c r="H3" i="5"/>
  <c r="G3" i="5"/>
  <c r="H4" i="5"/>
  <c r="G4" i="5"/>
  <c r="H5" i="5"/>
  <c r="G5" i="5"/>
  <c r="H6" i="5"/>
  <c r="G6" i="5"/>
  <c r="H8" i="5"/>
  <c r="H7" i="5"/>
  <c r="G7" i="5"/>
  <c r="G8" i="5"/>
  <c r="H9" i="5"/>
  <c r="G9" i="5"/>
  <c r="H10" i="5"/>
  <c r="G11" i="5"/>
  <c r="G10" i="5"/>
  <c r="H11" i="5"/>
  <c r="H18" i="4"/>
  <c r="G18" i="4"/>
  <c r="H17" i="4"/>
  <c r="G17" i="4"/>
  <c r="H16" i="4"/>
  <c r="G16" i="4"/>
  <c r="H15" i="4"/>
  <c r="G15" i="4"/>
  <c r="H7" i="4"/>
  <c r="G7" i="4"/>
  <c r="H6" i="4"/>
  <c r="G6" i="4"/>
  <c r="H5" i="4"/>
  <c r="G5" i="4"/>
  <c r="H4" i="4"/>
  <c r="G4" i="4"/>
  <c r="H3" i="4"/>
  <c r="G3" i="4"/>
  <c r="H2" i="4"/>
  <c r="G2" i="4"/>
  <c r="H18" i="3"/>
  <c r="G18" i="3"/>
  <c r="H17" i="3"/>
  <c r="G17" i="3"/>
  <c r="H16" i="3"/>
  <c r="G16" i="3"/>
  <c r="H15" i="3"/>
  <c r="G15" i="3"/>
  <c r="H7" i="3"/>
  <c r="H2" i="3"/>
  <c r="G2" i="3"/>
  <c r="H3" i="3"/>
  <c r="G3" i="3"/>
  <c r="H4" i="3"/>
  <c r="G4" i="3"/>
  <c r="H5" i="3"/>
  <c r="G5" i="3"/>
  <c r="H6" i="3"/>
  <c r="G6" i="3"/>
  <c r="G7" i="3"/>
  <c r="H2" i="1"/>
  <c r="G2" i="1"/>
  <c r="H3" i="1"/>
  <c r="G3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7" i="5"/>
  <c r="G17" i="5"/>
  <c r="H16" i="5"/>
  <c r="G16" i="5"/>
  <c r="H15" i="5"/>
  <c r="G15" i="5"/>
  <c r="H14" i="5"/>
  <c r="G14" i="5"/>
  <c r="H13" i="5"/>
  <c r="G13" i="5"/>
  <c r="H12" i="5"/>
  <c r="G12" i="5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16" i="1"/>
  <c r="G16" i="1"/>
  <c r="H15" i="1"/>
  <c r="G15" i="1"/>
  <c r="H14" i="1"/>
  <c r="G14" i="1"/>
  <c r="H13" i="1"/>
  <c r="G13" i="1"/>
  <c r="H12" i="1"/>
  <c r="G12" i="1"/>
  <c r="H11" i="1"/>
  <c r="G11" i="1"/>
</calcChain>
</file>

<file path=xl/sharedStrings.xml><?xml version="1.0" encoding="utf-8"?>
<sst xmlns="http://schemas.openxmlformats.org/spreadsheetml/2006/main" count="181" uniqueCount="121">
  <si>
    <t>Houston Astros</t>
  </si>
  <si>
    <t>Year</t>
  </si>
  <si>
    <t>Home ERA</t>
  </si>
  <si>
    <t>Minute Maid Park</t>
  </si>
  <si>
    <t>Homeruns Hit at Home</t>
  </si>
  <si>
    <t>Slugging % at Home</t>
  </si>
  <si>
    <t>Opponent Slugging % at MMP</t>
  </si>
  <si>
    <t>Miami Marlins</t>
  </si>
  <si>
    <t>Marlins Park</t>
  </si>
  <si>
    <t>San Diego Padres</t>
  </si>
  <si>
    <t>Petco Park</t>
  </si>
  <si>
    <t>Seattle Mariners</t>
  </si>
  <si>
    <t>T-Mobile Park</t>
  </si>
  <si>
    <t>Atlanta Braves</t>
  </si>
  <si>
    <t>Turner Field</t>
  </si>
  <si>
    <t>Truist Park (2017)</t>
  </si>
  <si>
    <t>Minnesota Twins</t>
  </si>
  <si>
    <t>Metrodome</t>
  </si>
  <si>
    <t>Target Field (2010)</t>
  </si>
  <si>
    <t>% HR @ Home</t>
  </si>
  <si>
    <t>% Runs @ Home</t>
  </si>
  <si>
    <t>Opponent Slugging % at Home</t>
  </si>
  <si>
    <t>New York Mets</t>
  </si>
  <si>
    <t>Shea Stadium</t>
  </si>
  <si>
    <t>Citi Field (2009)</t>
  </si>
  <si>
    <t>Washington Nationals</t>
  </si>
  <si>
    <t>Nationals Park (2008)</t>
  </si>
  <si>
    <t>St. Louis Cardinals</t>
  </si>
  <si>
    <t>Busch Memorial Stadium</t>
  </si>
  <si>
    <t>Busch Stadium (2006)</t>
  </si>
  <si>
    <t>Ballpark Name</t>
  </si>
  <si>
    <t>Team</t>
  </si>
  <si>
    <t>City</t>
  </si>
  <si>
    <t>Elevation Above Sea Level (ft)</t>
  </si>
  <si>
    <t>Average Humidity</t>
  </si>
  <si>
    <t>Average Summer Temperature (degrees F)</t>
  </si>
  <si>
    <t>Coors Field</t>
  </si>
  <si>
    <t>Rockies</t>
  </si>
  <si>
    <t>Denver, CO</t>
  </si>
  <si>
    <t>US Cellular Field</t>
  </si>
  <si>
    <t>White Sox</t>
  </si>
  <si>
    <t>Chicago, IL</t>
  </si>
  <si>
    <t>Great American Ballpark</t>
  </si>
  <si>
    <t>Reds</t>
  </si>
  <si>
    <t>Cincinatti, OH</t>
  </si>
  <si>
    <t>Camden Yards</t>
  </si>
  <si>
    <t>Orioles</t>
  </si>
  <si>
    <t>Baltimore, MD</t>
  </si>
  <si>
    <t>Rangers Ballpark in Arlington</t>
  </si>
  <si>
    <t>Rangers</t>
  </si>
  <si>
    <t>Arlington, TX</t>
  </si>
  <si>
    <t>Yankee Stadium</t>
  </si>
  <si>
    <t>Yankees</t>
  </si>
  <si>
    <t>New York, NY</t>
  </si>
  <si>
    <t>Miller Park</t>
  </si>
  <si>
    <t>Brewers</t>
  </si>
  <si>
    <t>Milwaukee, WI</t>
  </si>
  <si>
    <t>Chase Field</t>
  </si>
  <si>
    <t>Diamondbacks</t>
  </si>
  <si>
    <t>Phoenix, AZ</t>
  </si>
  <si>
    <t>Astros</t>
  </si>
  <si>
    <t>Houston, TX</t>
  </si>
  <si>
    <t>Citizens Bank Park</t>
  </si>
  <si>
    <t>Phillies</t>
  </si>
  <si>
    <t>Philadelphia, PA</t>
  </si>
  <si>
    <t>Dodger Stadium</t>
  </si>
  <si>
    <t>Dodgers</t>
  </si>
  <si>
    <t>Los Angeles, CA</t>
  </si>
  <si>
    <t>Fenway Park</t>
  </si>
  <si>
    <t>Red Sox</t>
  </si>
  <si>
    <t>Boston, MA</t>
  </si>
  <si>
    <t>Citi Field</t>
  </si>
  <si>
    <t>Mets</t>
  </si>
  <si>
    <t>Truist Park</t>
  </si>
  <si>
    <t>Braves</t>
  </si>
  <si>
    <t>Atlanta, GA</t>
  </si>
  <si>
    <t>Angel Stadium of Anaheim</t>
  </si>
  <si>
    <t>Angels</t>
  </si>
  <si>
    <t>Annaheim, CA</t>
  </si>
  <si>
    <t>Wrigley Field</t>
  </si>
  <si>
    <t>Cubs</t>
  </si>
  <si>
    <t>Padres</t>
  </si>
  <si>
    <t>San Diego, CA</t>
  </si>
  <si>
    <t>Rogers Centre</t>
  </si>
  <si>
    <t>Blue Jays</t>
  </si>
  <si>
    <t>Toronto, Ontario</t>
  </si>
  <si>
    <t>Oracle Park</t>
  </si>
  <si>
    <t>Giants</t>
  </si>
  <si>
    <t>San Fransisco, CA</t>
  </si>
  <si>
    <t>Busch Stadium</t>
  </si>
  <si>
    <t>Cardinals</t>
  </si>
  <si>
    <t>St. Louis, MO</t>
  </si>
  <si>
    <t>Progressive Field</t>
  </si>
  <si>
    <t>Indians</t>
  </si>
  <si>
    <t>Cleveland, OH</t>
  </si>
  <si>
    <t>Comerica Park</t>
  </si>
  <si>
    <t>Tigers</t>
  </si>
  <si>
    <t>Detroit, MI</t>
  </si>
  <si>
    <t>Tropicana Field</t>
  </si>
  <si>
    <t>Rays</t>
  </si>
  <si>
    <t>St. Petersburg, FL</t>
  </si>
  <si>
    <t>Target Field</t>
  </si>
  <si>
    <t>Twins</t>
  </si>
  <si>
    <t>Minneapolis, MN</t>
  </si>
  <si>
    <t>PNC Park</t>
  </si>
  <si>
    <t>Pirates</t>
  </si>
  <si>
    <t>Pittsburgh, PA</t>
  </si>
  <si>
    <t>RingCentral Coliseum</t>
  </si>
  <si>
    <t>Athletics</t>
  </si>
  <si>
    <t>Oakland, CA</t>
  </si>
  <si>
    <t>Nationals Park</t>
  </si>
  <si>
    <t>Nationals</t>
  </si>
  <si>
    <t>Washington, D.C.</t>
  </si>
  <si>
    <t>Kauffman Stadium</t>
  </si>
  <si>
    <t>Royals</t>
  </si>
  <si>
    <t>Kansas City, MO</t>
  </si>
  <si>
    <t>LoanDepot Park</t>
  </si>
  <si>
    <t>Marlins</t>
  </si>
  <si>
    <t>Miami, FL</t>
  </si>
  <si>
    <t>Mariners</t>
  </si>
  <si>
    <t>Seattle,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</si>
</sst>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3.07</c:v>
                </c:pt>
                <c:pt idx="1">
                  <c:v>4.03</c:v>
                </c:pt>
                <c:pt idx="2">
                  <c:v>4.05</c:v>
                </c:pt>
                <c:pt idx="3">
                  <c:v>4.25</c:v>
                </c:pt>
                <c:pt idx="4">
                  <c:v>4.01</c:v>
                </c:pt>
                <c:pt idx="5">
                  <c:v>3.51</c:v>
                </c:pt>
                <c:pt idx="6">
                  <c:v>4.5999999999999996</c:v>
                </c:pt>
                <c:pt idx="7">
                  <c:v>3.79</c:v>
                </c:pt>
                <c:pt idx="8">
                  <c:v>4.9800000000000004</c:v>
                </c:pt>
                <c:pt idx="9">
                  <c:v>4.03</c:v>
                </c:pt>
                <c:pt idx="10">
                  <c:v>3.22</c:v>
                </c:pt>
                <c:pt idx="11">
                  <c:v>3.4</c:v>
                </c:pt>
                <c:pt idx="12">
                  <c:v>3.65</c:v>
                </c:pt>
                <c:pt idx="13">
                  <c:v>3.34</c:v>
                </c:pt>
                <c:pt idx="14">
                  <c:v>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9-4CAC-93F9-A45D7B6B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85455"/>
        <c:axId val="2143784623"/>
      </c:scatterChart>
      <c:valAx>
        <c:axId val="21437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84623"/>
        <c:crosses val="autoZero"/>
        <c:crossBetween val="midCat"/>
      </c:valAx>
      <c:valAx>
        <c:axId val="21437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Sheet2!$F$2:$F$15</c:f>
              <c:numCache>
                <c:formatCode>General</c:formatCode>
                <c:ptCount val="14"/>
                <c:pt idx="0">
                  <c:v>0.42699999999999999</c:v>
                </c:pt>
                <c:pt idx="1">
                  <c:v>0.46600000000000003</c:v>
                </c:pt>
                <c:pt idx="2">
                  <c:v>0.41899999999999998</c:v>
                </c:pt>
                <c:pt idx="3">
                  <c:v>0.42799999999999999</c:v>
                </c:pt>
                <c:pt idx="4">
                  <c:v>0.39600000000000002</c:v>
                </c:pt>
                <c:pt idx="5">
                  <c:v>0.39300000000000002</c:v>
                </c:pt>
                <c:pt idx="6">
                  <c:v>0.378</c:v>
                </c:pt>
                <c:pt idx="7">
                  <c:v>0.32900000000000001</c:v>
                </c:pt>
                <c:pt idx="8">
                  <c:v>0.39600000000000002</c:v>
                </c:pt>
                <c:pt idx="9">
                  <c:v>0.377</c:v>
                </c:pt>
                <c:pt idx="10">
                  <c:v>0.379</c:v>
                </c:pt>
                <c:pt idx="11">
                  <c:v>0.42399999999999999</c:v>
                </c:pt>
                <c:pt idx="12">
                  <c:v>0.33800000000000002</c:v>
                </c:pt>
                <c:pt idx="13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5-456D-BE27-202387AF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3280"/>
        <c:axId val="716587872"/>
      </c:scatterChart>
      <c:valAx>
        <c:axId val="7165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87872"/>
        <c:crosses val="autoZero"/>
        <c:crossBetween val="midCat"/>
      </c:valAx>
      <c:valAx>
        <c:axId val="716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Sheet2!$G$2:$G$15</c:f>
              <c:numCache>
                <c:formatCode>General</c:formatCode>
                <c:ptCount val="14"/>
                <c:pt idx="0">
                  <c:v>46.153846153846153</c:v>
                </c:pt>
                <c:pt idx="1">
                  <c:v>54.726368159203972</c:v>
                </c:pt>
                <c:pt idx="2">
                  <c:v>45.192307692307693</c:v>
                </c:pt>
                <c:pt idx="3">
                  <c:v>54.088050314465406</c:v>
                </c:pt>
                <c:pt idx="4">
                  <c:v>45.394736842105267</c:v>
                </c:pt>
                <c:pt idx="5">
                  <c:v>48.322147651006716</c:v>
                </c:pt>
                <c:pt idx="6">
                  <c:v>40.145985401459853</c:v>
                </c:pt>
                <c:pt idx="7">
                  <c:v>37.894736842105267</c:v>
                </c:pt>
                <c:pt idx="8">
                  <c:v>48.360655737704917</c:v>
                </c:pt>
                <c:pt idx="9">
                  <c:v>44.166666666666664</c:v>
                </c:pt>
                <c:pt idx="10">
                  <c:v>45.3125</c:v>
                </c:pt>
                <c:pt idx="11">
                  <c:v>48.96907216494845</c:v>
                </c:pt>
                <c:pt idx="12">
                  <c:v>41.40625</c:v>
                </c:pt>
                <c:pt idx="13">
                  <c:v>46.575342465753423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F-49A2-A65E-42436618B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5392"/>
        <c:axId val="716579552"/>
      </c:scatterChart>
      <c:valAx>
        <c:axId val="7165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9552"/>
        <c:crosses val="autoZero"/>
        <c:crossBetween val="midCat"/>
      </c:valAx>
      <c:valAx>
        <c:axId val="7165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Sheet2!$H$2:$H$15</c:f>
              <c:numCache>
                <c:formatCode>General</c:formatCode>
                <c:ptCount val="14"/>
                <c:pt idx="0">
                  <c:v>46.569920844327179</c:v>
                </c:pt>
                <c:pt idx="1">
                  <c:v>51.772151898734172</c:v>
                </c:pt>
                <c:pt idx="2">
                  <c:v>47.922077922077918</c:v>
                </c:pt>
                <c:pt idx="3">
                  <c:v>50.906735751295344</c:v>
                </c:pt>
                <c:pt idx="4">
                  <c:v>50.764951321279547</c:v>
                </c:pt>
                <c:pt idx="5">
                  <c:v>47.839999999999996</c:v>
                </c:pt>
                <c:pt idx="6">
                  <c:v>50.082101806239741</c:v>
                </c:pt>
                <c:pt idx="7">
                  <c:v>53.801169590643269</c:v>
                </c:pt>
                <c:pt idx="8">
                  <c:v>54.108527131782949</c:v>
                </c:pt>
                <c:pt idx="9">
                  <c:v>49.9184339314845</c:v>
                </c:pt>
                <c:pt idx="10">
                  <c:v>46.106870229007633</c:v>
                </c:pt>
                <c:pt idx="11">
                  <c:v>46.272493573264782</c:v>
                </c:pt>
                <c:pt idx="12">
                  <c:v>47.368421052631575</c:v>
                </c:pt>
                <c:pt idx="13">
                  <c:v>53.008130081300806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2-42EA-ACCB-01527BC18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8720"/>
        <c:axId val="716574976"/>
      </c:scatterChart>
      <c:valAx>
        <c:axId val="7165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4976"/>
        <c:crosses val="autoZero"/>
        <c:crossBetween val="midCat"/>
      </c:valAx>
      <c:valAx>
        <c:axId val="7165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Sheet3!$C$2:$C$18</c:f>
              <c:numCache>
                <c:formatCode>General</c:formatCode>
                <c:ptCount val="17"/>
                <c:pt idx="0">
                  <c:v>4.28</c:v>
                </c:pt>
                <c:pt idx="1">
                  <c:v>3.85</c:v>
                </c:pt>
                <c:pt idx="2">
                  <c:v>3.52</c:v>
                </c:pt>
                <c:pt idx="3">
                  <c:v>3.75</c:v>
                </c:pt>
                <c:pt idx="4">
                  <c:v>3.02</c:v>
                </c:pt>
                <c:pt idx="5">
                  <c:v>3.65</c:v>
                </c:pt>
                <c:pt idx="6">
                  <c:v>3.44</c:v>
                </c:pt>
                <c:pt idx="7">
                  <c:v>2.9</c:v>
                </c:pt>
                <c:pt idx="8">
                  <c:v>3.02</c:v>
                </c:pt>
                <c:pt idx="9">
                  <c:v>3.35</c:v>
                </c:pt>
                <c:pt idx="10">
                  <c:v>3.24</c:v>
                </c:pt>
                <c:pt idx="11">
                  <c:v>2.56</c:v>
                </c:pt>
                <c:pt idx="12">
                  <c:v>3.76</c:v>
                </c:pt>
                <c:pt idx="13">
                  <c:v>4.13</c:v>
                </c:pt>
                <c:pt idx="14">
                  <c:v>3.75</c:v>
                </c:pt>
                <c:pt idx="15">
                  <c:v>4.13</c:v>
                </c:pt>
                <c:pt idx="16">
                  <c:v>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96D-8E14-135AAF0F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97215"/>
        <c:axId val="2129197631"/>
      </c:scatterChart>
      <c:valAx>
        <c:axId val="212919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631"/>
        <c:crosses val="autoZero"/>
        <c:crossBetween val="midCat"/>
      </c:valAx>
      <c:valAx>
        <c:axId val="21291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Opponent 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Sheet3!$D$2:$D$18</c:f>
              <c:numCache>
                <c:formatCode>General</c:formatCode>
                <c:ptCount val="17"/>
                <c:pt idx="0">
                  <c:v>0.41199999999999998</c:v>
                </c:pt>
                <c:pt idx="1">
                  <c:v>0.40899999999999997</c:v>
                </c:pt>
                <c:pt idx="2">
                  <c:v>0.378</c:v>
                </c:pt>
                <c:pt idx="3">
                  <c:v>0.39600000000000002</c:v>
                </c:pt>
                <c:pt idx="4">
                  <c:v>0.33600000000000002</c:v>
                </c:pt>
                <c:pt idx="5">
                  <c:v>0.36799999999999999</c:v>
                </c:pt>
                <c:pt idx="6">
                  <c:v>0.35299999999999998</c:v>
                </c:pt>
                <c:pt idx="7">
                  <c:v>0.34499999999999997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0.373</c:v>
                </c:pt>
                <c:pt idx="11">
                  <c:v>0.32</c:v>
                </c:pt>
                <c:pt idx="12">
                  <c:v>0.40500000000000003</c:v>
                </c:pt>
                <c:pt idx="13">
                  <c:v>0.41</c:v>
                </c:pt>
                <c:pt idx="14">
                  <c:v>0.39200000000000002</c:v>
                </c:pt>
                <c:pt idx="15">
                  <c:v>0.41</c:v>
                </c:pt>
                <c:pt idx="16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A-414F-A9E1-0E001A2B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43344"/>
        <c:axId val="686242512"/>
      </c:scatterChart>
      <c:valAx>
        <c:axId val="6862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42512"/>
        <c:crosses val="autoZero"/>
        <c:crossBetween val="midCat"/>
      </c:valAx>
      <c:valAx>
        <c:axId val="6862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4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Sheet3!$E$2:$E$18</c:f>
              <c:numCache>
                <c:formatCode>General</c:formatCode>
                <c:ptCount val="17"/>
                <c:pt idx="0">
                  <c:v>55</c:v>
                </c:pt>
                <c:pt idx="1">
                  <c:v>57</c:v>
                </c:pt>
                <c:pt idx="2">
                  <c:v>54</c:v>
                </c:pt>
                <c:pt idx="3">
                  <c:v>75</c:v>
                </c:pt>
                <c:pt idx="4">
                  <c:v>72</c:v>
                </c:pt>
                <c:pt idx="5">
                  <c:v>66</c:v>
                </c:pt>
                <c:pt idx="6">
                  <c:v>61</c:v>
                </c:pt>
                <c:pt idx="7">
                  <c:v>59</c:v>
                </c:pt>
                <c:pt idx="8">
                  <c:v>46</c:v>
                </c:pt>
                <c:pt idx="9">
                  <c:v>47</c:v>
                </c:pt>
                <c:pt idx="10">
                  <c:v>66</c:v>
                </c:pt>
                <c:pt idx="11">
                  <c:v>54</c:v>
                </c:pt>
                <c:pt idx="12">
                  <c:v>74</c:v>
                </c:pt>
                <c:pt idx="13">
                  <c:v>83</c:v>
                </c:pt>
                <c:pt idx="14">
                  <c:v>89</c:v>
                </c:pt>
                <c:pt idx="15">
                  <c:v>81</c:v>
                </c:pt>
                <c:pt idx="1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2-4470-AAB6-B2CD5181E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73408"/>
        <c:axId val="683473824"/>
      </c:scatterChart>
      <c:valAx>
        <c:axId val="6834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73824"/>
        <c:crosses val="autoZero"/>
        <c:crossBetween val="midCat"/>
      </c:valAx>
      <c:valAx>
        <c:axId val="6834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7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Sheet3!$F$2:$F$18</c:f>
              <c:numCache>
                <c:formatCode>General</c:formatCode>
                <c:ptCount val="17"/>
                <c:pt idx="0">
                  <c:v>0.375</c:v>
                </c:pt>
                <c:pt idx="1">
                  <c:v>0.38700000000000001</c:v>
                </c:pt>
                <c:pt idx="2">
                  <c:v>0.377</c:v>
                </c:pt>
                <c:pt idx="3">
                  <c:v>0.38800000000000001</c:v>
                </c:pt>
                <c:pt idx="4">
                  <c:v>0.378</c:v>
                </c:pt>
                <c:pt idx="5">
                  <c:v>0.36499999999999999</c:v>
                </c:pt>
                <c:pt idx="6">
                  <c:v>0.34200000000000003</c:v>
                </c:pt>
                <c:pt idx="7">
                  <c:v>0.35799999999999998</c:v>
                </c:pt>
                <c:pt idx="8">
                  <c:v>0.33400000000000002</c:v>
                </c:pt>
                <c:pt idx="9">
                  <c:v>0.36699999999999999</c:v>
                </c:pt>
                <c:pt idx="10">
                  <c:v>0.36699999999999999</c:v>
                </c:pt>
                <c:pt idx="11">
                  <c:v>0.34799999999999998</c:v>
                </c:pt>
                <c:pt idx="12">
                  <c:v>0.39200000000000002</c:v>
                </c:pt>
                <c:pt idx="13">
                  <c:v>0.39300000000000002</c:v>
                </c:pt>
                <c:pt idx="14">
                  <c:v>0.39400000000000002</c:v>
                </c:pt>
                <c:pt idx="15">
                  <c:v>0.378</c:v>
                </c:pt>
                <c:pt idx="16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2-4FC8-B322-306D07A7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72160"/>
        <c:axId val="687572992"/>
      </c:scatterChart>
      <c:valAx>
        <c:axId val="6875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72992"/>
        <c:crosses val="autoZero"/>
        <c:crossBetween val="midCat"/>
      </c:valAx>
      <c:valAx>
        <c:axId val="6875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Sheet3!$G$2:$G$18</c:f>
              <c:numCache>
                <c:formatCode>General</c:formatCode>
                <c:ptCount val="17"/>
                <c:pt idx="0">
                  <c:v>42.96875</c:v>
                </c:pt>
                <c:pt idx="1">
                  <c:v>41.007194244604314</c:v>
                </c:pt>
                <c:pt idx="2">
                  <c:v>41.53846153846154</c:v>
                </c:pt>
                <c:pt idx="3">
                  <c:v>46.58385093167702</c:v>
                </c:pt>
                <c:pt idx="4">
                  <c:v>42.105263157894733</c:v>
                </c:pt>
                <c:pt idx="5">
                  <c:v>42.857142857142854</c:v>
                </c:pt>
                <c:pt idx="6">
                  <c:v>43.262411347517734</c:v>
                </c:pt>
                <c:pt idx="7">
                  <c:v>44.696969696969695</c:v>
                </c:pt>
                <c:pt idx="8">
                  <c:v>50.549450549450547</c:v>
                </c:pt>
                <c:pt idx="9">
                  <c:v>38.84297520661157</c:v>
                </c:pt>
                <c:pt idx="10">
                  <c:v>45.205479452054789</c:v>
                </c:pt>
                <c:pt idx="11">
                  <c:v>49.541284403669728</c:v>
                </c:pt>
                <c:pt idx="12">
                  <c:v>50</c:v>
                </c:pt>
                <c:pt idx="13">
                  <c:v>46.89265536723164</c:v>
                </c:pt>
                <c:pt idx="14">
                  <c:v>47.089947089947088</c:v>
                </c:pt>
                <c:pt idx="15">
                  <c:v>50</c:v>
                </c:pt>
                <c:pt idx="16">
                  <c:v>46.118721461187214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B-44C3-92C4-33C6A5A8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46080"/>
        <c:axId val="683846912"/>
      </c:scatterChart>
      <c:valAx>
        <c:axId val="6838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46912"/>
        <c:crosses val="autoZero"/>
        <c:crossBetween val="midCat"/>
      </c:valAx>
      <c:valAx>
        <c:axId val="6838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4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Sheet3!$H$2:$H$18</c:f>
              <c:numCache>
                <c:formatCode>General</c:formatCode>
                <c:ptCount val="17"/>
                <c:pt idx="0">
                  <c:v>45.132743362831853</c:v>
                </c:pt>
                <c:pt idx="1">
                  <c:v>42.838541666666671</c:v>
                </c:pt>
                <c:pt idx="2">
                  <c:v>45.029239766081872</c:v>
                </c:pt>
                <c:pt idx="3">
                  <c:v>43.091655266757869</c:v>
                </c:pt>
                <c:pt idx="4">
                  <c:v>43.589743589743591</c:v>
                </c:pt>
                <c:pt idx="5">
                  <c:v>45.368916797488225</c:v>
                </c:pt>
                <c:pt idx="6">
                  <c:v>43.573667711598745</c:v>
                </c:pt>
                <c:pt idx="7">
                  <c:v>48.421052631578945</c:v>
                </c:pt>
                <c:pt idx="8">
                  <c:v>43.001686340640809</c:v>
                </c:pt>
                <c:pt idx="9">
                  <c:v>47.465437788018434</c:v>
                </c:pt>
                <c:pt idx="10">
                  <c:v>47.087378640776699</c:v>
                </c:pt>
                <c:pt idx="11">
                  <c:v>49.906542056074763</c:v>
                </c:pt>
                <c:pt idx="12">
                  <c:v>49.38461538461538</c:v>
                </c:pt>
                <c:pt idx="13">
                  <c:v>51.020408163265309</c:v>
                </c:pt>
                <c:pt idx="14">
                  <c:v>50</c:v>
                </c:pt>
                <c:pt idx="15">
                  <c:v>50.729335494327387</c:v>
                </c:pt>
                <c:pt idx="16">
                  <c:v>45.747800586510259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E-4A54-A434-89620C415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1328"/>
        <c:axId val="127582160"/>
      </c:scatterChart>
      <c:valAx>
        <c:axId val="1275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2160"/>
        <c:crosses val="autoZero"/>
        <c:crossBetween val="midCat"/>
      </c:valAx>
      <c:valAx>
        <c:axId val="1275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Sheet4!$C$2:$C$18</c:f>
              <c:numCache>
                <c:formatCode>General</c:formatCode>
                <c:ptCount val="17"/>
                <c:pt idx="0">
                  <c:v>3.54</c:v>
                </c:pt>
                <c:pt idx="1">
                  <c:v>4.3</c:v>
                </c:pt>
                <c:pt idx="2">
                  <c:v>4.1500000000000004</c:v>
                </c:pt>
                <c:pt idx="3">
                  <c:v>4.26</c:v>
                </c:pt>
                <c:pt idx="4">
                  <c:v>4.57</c:v>
                </c:pt>
                <c:pt idx="5">
                  <c:v>4.4000000000000004</c:v>
                </c:pt>
                <c:pt idx="6">
                  <c:v>3.62</c:v>
                </c:pt>
                <c:pt idx="7">
                  <c:v>2.96</c:v>
                </c:pt>
                <c:pt idx="8">
                  <c:v>3.69</c:v>
                </c:pt>
                <c:pt idx="9">
                  <c:v>2.96</c:v>
                </c:pt>
                <c:pt idx="10">
                  <c:v>4.17</c:v>
                </c:pt>
                <c:pt idx="11">
                  <c:v>2.93</c:v>
                </c:pt>
                <c:pt idx="12">
                  <c:v>3.72</c:v>
                </c:pt>
                <c:pt idx="13">
                  <c:v>3.81</c:v>
                </c:pt>
                <c:pt idx="14">
                  <c:v>4</c:v>
                </c:pt>
                <c:pt idx="15">
                  <c:v>3.7</c:v>
                </c:pt>
                <c:pt idx="1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3-4BCA-8F64-2367DE4A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28895"/>
        <c:axId val="2139129311"/>
      </c:scatterChart>
      <c:valAx>
        <c:axId val="21391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9311"/>
        <c:crosses val="autoZero"/>
        <c:crossBetween val="midCat"/>
      </c:valAx>
      <c:valAx>
        <c:axId val="21391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Opponent Slugging % at MMP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0.38900000000000001</c:v>
                </c:pt>
                <c:pt idx="1">
                  <c:v>0.41899999999999998</c:v>
                </c:pt>
                <c:pt idx="2">
                  <c:v>0.439</c:v>
                </c:pt>
                <c:pt idx="3">
                  <c:v>0.437</c:v>
                </c:pt>
                <c:pt idx="4">
                  <c:v>0.42399999999999999</c:v>
                </c:pt>
                <c:pt idx="5">
                  <c:v>0.38</c:v>
                </c:pt>
                <c:pt idx="6">
                  <c:v>0.44</c:v>
                </c:pt>
                <c:pt idx="7">
                  <c:v>0.39600000000000002</c:v>
                </c:pt>
                <c:pt idx="8">
                  <c:v>0.44900000000000001</c:v>
                </c:pt>
                <c:pt idx="9">
                  <c:v>0.39800000000000002</c:v>
                </c:pt>
                <c:pt idx="10">
                  <c:v>0.372</c:v>
                </c:pt>
                <c:pt idx="11">
                  <c:v>0.38600000000000001</c:v>
                </c:pt>
                <c:pt idx="12">
                  <c:v>0.38800000000000001</c:v>
                </c:pt>
                <c:pt idx="13">
                  <c:v>0.371</c:v>
                </c:pt>
                <c:pt idx="14">
                  <c:v>0.40300000000000002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8-4BD7-ACD0-4DE20550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8624"/>
        <c:axId val="677539456"/>
      </c:scatterChart>
      <c:valAx>
        <c:axId val="6775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39456"/>
        <c:crosses val="autoZero"/>
        <c:crossBetween val="midCat"/>
      </c:valAx>
      <c:valAx>
        <c:axId val="6775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Opponent Slugging % at MMP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Sheet4!$D$2:$D$18</c:f>
              <c:numCache>
                <c:formatCode>General</c:formatCode>
                <c:ptCount val="17"/>
                <c:pt idx="0">
                  <c:v>0.375</c:v>
                </c:pt>
                <c:pt idx="1">
                  <c:v>0.42599999999999999</c:v>
                </c:pt>
                <c:pt idx="2">
                  <c:v>0.39400000000000002</c:v>
                </c:pt>
                <c:pt idx="3">
                  <c:v>0.41</c:v>
                </c:pt>
                <c:pt idx="4">
                  <c:v>0.41899999999999998</c:v>
                </c:pt>
                <c:pt idx="5">
                  <c:v>0.40899999999999997</c:v>
                </c:pt>
                <c:pt idx="6">
                  <c:v>0.376</c:v>
                </c:pt>
                <c:pt idx="7">
                  <c:v>0.33800000000000002</c:v>
                </c:pt>
                <c:pt idx="8">
                  <c:v>0.36899999999999999</c:v>
                </c:pt>
                <c:pt idx="9">
                  <c:v>0.33800000000000002</c:v>
                </c:pt>
                <c:pt idx="10">
                  <c:v>0.40300000000000002</c:v>
                </c:pt>
                <c:pt idx="11">
                  <c:v>0.33600000000000002</c:v>
                </c:pt>
                <c:pt idx="12">
                  <c:v>0.38600000000000001</c:v>
                </c:pt>
                <c:pt idx="13">
                  <c:v>0.42499999999999999</c:v>
                </c:pt>
                <c:pt idx="14">
                  <c:v>0.40799999999999997</c:v>
                </c:pt>
                <c:pt idx="15">
                  <c:v>0.40300000000000002</c:v>
                </c:pt>
                <c:pt idx="16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1A5-8744-4D30A4C8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52560"/>
        <c:axId val="579650896"/>
      </c:scatterChart>
      <c:valAx>
        <c:axId val="5796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0896"/>
        <c:crosses val="autoZero"/>
        <c:crossBetween val="midCat"/>
      </c:valAx>
      <c:valAx>
        <c:axId val="5796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Sheet4!$E$2:$E$18</c:f>
              <c:numCache>
                <c:formatCode>General</c:formatCode>
                <c:ptCount val="17"/>
                <c:pt idx="0">
                  <c:v>69</c:v>
                </c:pt>
                <c:pt idx="1">
                  <c:v>71</c:v>
                </c:pt>
                <c:pt idx="2">
                  <c:v>63</c:v>
                </c:pt>
                <c:pt idx="3">
                  <c:v>81</c:v>
                </c:pt>
                <c:pt idx="4">
                  <c:v>77</c:v>
                </c:pt>
                <c:pt idx="5">
                  <c:v>59</c:v>
                </c:pt>
                <c:pt idx="6">
                  <c:v>76</c:v>
                </c:pt>
                <c:pt idx="7">
                  <c:v>35</c:v>
                </c:pt>
                <c:pt idx="8">
                  <c:v>57</c:v>
                </c:pt>
                <c:pt idx="9">
                  <c:v>56</c:v>
                </c:pt>
                <c:pt idx="10">
                  <c:v>88</c:v>
                </c:pt>
                <c:pt idx="11">
                  <c:v>73</c:v>
                </c:pt>
                <c:pt idx="12">
                  <c:v>90</c:v>
                </c:pt>
                <c:pt idx="13">
                  <c:v>116</c:v>
                </c:pt>
                <c:pt idx="14">
                  <c:v>97</c:v>
                </c:pt>
                <c:pt idx="15">
                  <c:v>84</c:v>
                </c:pt>
                <c:pt idx="16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E-4F90-B676-735BF24C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19072"/>
        <c:axId val="716616160"/>
      </c:scatterChart>
      <c:valAx>
        <c:axId val="7166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16160"/>
        <c:crosses val="autoZero"/>
        <c:crossBetween val="midCat"/>
      </c:valAx>
      <c:valAx>
        <c:axId val="7166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Sheet4!$F$2:$F$18</c:f>
              <c:numCache>
                <c:formatCode>General</c:formatCode>
                <c:ptCount val="17"/>
                <c:pt idx="0">
                  <c:v>0.39800000000000002</c:v>
                </c:pt>
                <c:pt idx="1">
                  <c:v>0.38500000000000001</c:v>
                </c:pt>
                <c:pt idx="2">
                  <c:v>0.39</c:v>
                </c:pt>
                <c:pt idx="3">
                  <c:v>0.41599999999999998</c:v>
                </c:pt>
                <c:pt idx="4">
                  <c:v>0.41799999999999998</c:v>
                </c:pt>
                <c:pt idx="5">
                  <c:v>0.39800000000000002</c:v>
                </c:pt>
                <c:pt idx="6">
                  <c:v>0.39500000000000002</c:v>
                </c:pt>
                <c:pt idx="7">
                  <c:v>0.32200000000000001</c:v>
                </c:pt>
                <c:pt idx="8">
                  <c:v>0.33300000000000002</c:v>
                </c:pt>
                <c:pt idx="9">
                  <c:v>0.33100000000000002</c:v>
                </c:pt>
                <c:pt idx="10">
                  <c:v>0.38700000000000001</c:v>
                </c:pt>
                <c:pt idx="11">
                  <c:v>0.29399999999999998</c:v>
                </c:pt>
                <c:pt idx="12">
                  <c:v>0.40200000000000002</c:v>
                </c:pt>
                <c:pt idx="13">
                  <c:v>0.43099999999999999</c:v>
                </c:pt>
                <c:pt idx="14">
                  <c:v>0.42699999999999999</c:v>
                </c:pt>
                <c:pt idx="15">
                  <c:v>0.39200000000000002</c:v>
                </c:pt>
                <c:pt idx="16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8-4DD1-A3D3-34812803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02432"/>
        <c:axId val="716614496"/>
      </c:scatterChart>
      <c:valAx>
        <c:axId val="7166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14496"/>
        <c:crosses val="autoZero"/>
        <c:crossBetween val="midCat"/>
      </c:valAx>
      <c:valAx>
        <c:axId val="7166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Sheet4!$G$2:$G$18</c:f>
              <c:numCache>
                <c:formatCode>General</c:formatCode>
                <c:ptCount val="17"/>
                <c:pt idx="0">
                  <c:v>49.640287769784173</c:v>
                </c:pt>
                <c:pt idx="1">
                  <c:v>52.205882352941181</c:v>
                </c:pt>
                <c:pt idx="2">
                  <c:v>48.46153846153846</c:v>
                </c:pt>
                <c:pt idx="3">
                  <c:v>47.093023255813954</c:v>
                </c:pt>
                <c:pt idx="4">
                  <c:v>50.326797385620914</c:v>
                </c:pt>
                <c:pt idx="5">
                  <c:v>47.580645161290327</c:v>
                </c:pt>
                <c:pt idx="6">
                  <c:v>47.5</c:v>
                </c:pt>
                <c:pt idx="7">
                  <c:v>47.5</c:v>
                </c:pt>
                <c:pt idx="8">
                  <c:v>52.293577981651374</c:v>
                </c:pt>
                <c:pt idx="9">
                  <c:v>37.583892617449663</c:v>
                </c:pt>
                <c:pt idx="10">
                  <c:v>46.808510638297875</c:v>
                </c:pt>
                <c:pt idx="11">
                  <c:v>53.67647058823529</c:v>
                </c:pt>
                <c:pt idx="12">
                  <c:v>45.454545454545453</c:v>
                </c:pt>
                <c:pt idx="13">
                  <c:v>52.017937219730939</c:v>
                </c:pt>
                <c:pt idx="14">
                  <c:v>48.5</c:v>
                </c:pt>
                <c:pt idx="15">
                  <c:v>47.727272727272727</c:v>
                </c:pt>
                <c:pt idx="16">
                  <c:v>44.769874476987447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6-4AC0-95C1-F86CEB81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38144"/>
        <c:axId val="725738560"/>
      </c:scatterChart>
      <c:valAx>
        <c:axId val="7257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38560"/>
        <c:crosses val="autoZero"/>
        <c:crossBetween val="midCat"/>
      </c:valAx>
      <c:valAx>
        <c:axId val="7257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Sheet4!$H$2:$H$18</c:f>
              <c:numCache>
                <c:formatCode>General</c:formatCode>
                <c:ptCount val="17"/>
                <c:pt idx="0">
                  <c:v>49.559748427672957</c:v>
                </c:pt>
                <c:pt idx="1">
                  <c:v>44.842406876790832</c:v>
                </c:pt>
                <c:pt idx="2">
                  <c:v>50.643776824034333</c:v>
                </c:pt>
                <c:pt idx="3">
                  <c:v>46.693121693121689</c:v>
                </c:pt>
                <c:pt idx="4">
                  <c:v>48.614609571788414</c:v>
                </c:pt>
                <c:pt idx="5">
                  <c:v>50.22354694485842</c:v>
                </c:pt>
                <c:pt idx="6">
                  <c:v>48.90625</c:v>
                </c:pt>
                <c:pt idx="7">
                  <c:v>48.90625</c:v>
                </c:pt>
                <c:pt idx="8">
                  <c:v>47.661870503597122</c:v>
                </c:pt>
                <c:pt idx="9">
                  <c:v>41.518578352180938</c:v>
                </c:pt>
                <c:pt idx="10">
                  <c:v>49.679487179487182</c:v>
                </c:pt>
                <c:pt idx="11">
                  <c:v>44.321766561514195</c:v>
                </c:pt>
                <c:pt idx="12">
                  <c:v>47.256097560975604</c:v>
                </c:pt>
                <c:pt idx="13">
                  <c:v>48.177083333333329</c:v>
                </c:pt>
                <c:pt idx="14">
                  <c:v>49.333333333333336</c:v>
                </c:pt>
                <c:pt idx="15">
                  <c:v>44.165435745937963</c:v>
                </c:pt>
                <c:pt idx="16">
                  <c:v>48.416886543535618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B-42E6-B0DC-14D7D86B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45120"/>
        <c:axId val="721145952"/>
      </c:scatterChart>
      <c:valAx>
        <c:axId val="7211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45952"/>
        <c:crosses val="autoZero"/>
        <c:crossBetween val="midCat"/>
      </c:valAx>
      <c:valAx>
        <c:axId val="7211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Sheet5!$C$2:$C$17</c:f>
              <c:numCache>
                <c:formatCode>General</c:formatCode>
                <c:ptCount val="16"/>
                <c:pt idx="0">
                  <c:v>3.59</c:v>
                </c:pt>
                <c:pt idx="1">
                  <c:v>3.82</c:v>
                </c:pt>
                <c:pt idx="2">
                  <c:v>4.33</c:v>
                </c:pt>
                <c:pt idx="3">
                  <c:v>3.96</c:v>
                </c:pt>
                <c:pt idx="4">
                  <c:v>4.4400000000000004</c:v>
                </c:pt>
                <c:pt idx="5">
                  <c:v>3.43</c:v>
                </c:pt>
                <c:pt idx="6">
                  <c:v>3.18</c:v>
                </c:pt>
                <c:pt idx="7">
                  <c:v>3.13</c:v>
                </c:pt>
                <c:pt idx="8">
                  <c:v>3.39</c:v>
                </c:pt>
                <c:pt idx="9">
                  <c:v>2.7</c:v>
                </c:pt>
                <c:pt idx="10">
                  <c:v>3.13</c:v>
                </c:pt>
                <c:pt idx="11">
                  <c:v>3.91</c:v>
                </c:pt>
                <c:pt idx="12">
                  <c:v>4.3899999999999997</c:v>
                </c:pt>
                <c:pt idx="13">
                  <c:v>4.82</c:v>
                </c:pt>
                <c:pt idx="14">
                  <c:v>3.92</c:v>
                </c:pt>
                <c:pt idx="15">
                  <c:v>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8-4BB2-A434-A43084D82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70912"/>
        <c:axId val="687573408"/>
      </c:scatterChart>
      <c:valAx>
        <c:axId val="6875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73408"/>
        <c:crosses val="autoZero"/>
        <c:crossBetween val="midCat"/>
      </c:valAx>
      <c:valAx>
        <c:axId val="6875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Opponent 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Sheet5!$D$2:$D$17</c:f>
              <c:numCache>
                <c:formatCode>General</c:formatCode>
                <c:ptCount val="16"/>
                <c:pt idx="0">
                  <c:v>0.39800000000000002</c:v>
                </c:pt>
                <c:pt idx="1">
                  <c:v>0.39</c:v>
                </c:pt>
                <c:pt idx="2">
                  <c:v>0.433</c:v>
                </c:pt>
                <c:pt idx="3">
                  <c:v>0.40699999999999997</c:v>
                </c:pt>
                <c:pt idx="4">
                  <c:v>0.42599999999999999</c:v>
                </c:pt>
                <c:pt idx="5">
                  <c:v>0.37</c:v>
                </c:pt>
                <c:pt idx="6">
                  <c:v>0.35499999999999998</c:v>
                </c:pt>
                <c:pt idx="7">
                  <c:v>0.33500000000000002</c:v>
                </c:pt>
                <c:pt idx="8">
                  <c:v>0.373</c:v>
                </c:pt>
                <c:pt idx="9">
                  <c:v>0.34699999999999998</c:v>
                </c:pt>
                <c:pt idx="10">
                  <c:v>0.36299999999999999</c:v>
                </c:pt>
                <c:pt idx="11">
                  <c:v>0.378</c:v>
                </c:pt>
                <c:pt idx="12">
                  <c:v>0.39400000000000002</c:v>
                </c:pt>
                <c:pt idx="13">
                  <c:v>0.442</c:v>
                </c:pt>
                <c:pt idx="14">
                  <c:v>0.36299999999999999</c:v>
                </c:pt>
                <c:pt idx="15">
                  <c:v>0.41799999999999998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4-494F-9578-1363F2E1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1392"/>
        <c:axId val="172817232"/>
      </c:scatterChart>
      <c:valAx>
        <c:axId val="1728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7232"/>
        <c:crosses val="autoZero"/>
        <c:crossBetween val="midCat"/>
      </c:valAx>
      <c:valAx>
        <c:axId val="1728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Sheet5!$E$2:$E$17</c:f>
              <c:numCache>
                <c:formatCode>General</c:formatCode>
                <c:ptCount val="16"/>
                <c:pt idx="0">
                  <c:v>92</c:v>
                </c:pt>
                <c:pt idx="1">
                  <c:v>89</c:v>
                </c:pt>
                <c:pt idx="2">
                  <c:v>100</c:v>
                </c:pt>
                <c:pt idx="3">
                  <c:v>82</c:v>
                </c:pt>
                <c:pt idx="4">
                  <c:v>62</c:v>
                </c:pt>
                <c:pt idx="5">
                  <c:v>69</c:v>
                </c:pt>
                <c:pt idx="6">
                  <c:v>74</c:v>
                </c:pt>
                <c:pt idx="7">
                  <c:v>90</c:v>
                </c:pt>
                <c:pt idx="8">
                  <c:v>70</c:v>
                </c:pt>
                <c:pt idx="9">
                  <c:v>90</c:v>
                </c:pt>
                <c:pt idx="10">
                  <c:v>62</c:v>
                </c:pt>
                <c:pt idx="11">
                  <c:v>48</c:v>
                </c:pt>
                <c:pt idx="12">
                  <c:v>52</c:v>
                </c:pt>
                <c:pt idx="13">
                  <c:v>77</c:v>
                </c:pt>
                <c:pt idx="14">
                  <c:v>78</c:v>
                </c:pt>
                <c:pt idx="15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8-4547-ABD2-011FEA7B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88496"/>
        <c:axId val="684390160"/>
      </c:scatterChart>
      <c:valAx>
        <c:axId val="68438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90160"/>
        <c:crosses val="autoZero"/>
        <c:crossBetween val="midCat"/>
      </c:valAx>
      <c:valAx>
        <c:axId val="6843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Sheet5!$F$2:$F$17</c:f>
              <c:numCache>
                <c:formatCode>General</c:formatCode>
                <c:ptCount val="16"/>
                <c:pt idx="0">
                  <c:v>0.434</c:v>
                </c:pt>
                <c:pt idx="1">
                  <c:v>0.46200000000000002</c:v>
                </c:pt>
                <c:pt idx="2">
                  <c:v>0.45700000000000002</c:v>
                </c:pt>
                <c:pt idx="3">
                  <c:v>0.41599999999999998</c:v>
                </c:pt>
                <c:pt idx="4">
                  <c:v>0.41099999999999998</c:v>
                </c:pt>
                <c:pt idx="5">
                  <c:v>0.39200000000000002</c:v>
                </c:pt>
                <c:pt idx="6">
                  <c:v>0.42299999999999999</c:v>
                </c:pt>
                <c:pt idx="7">
                  <c:v>0.40600000000000003</c:v>
                </c:pt>
                <c:pt idx="8">
                  <c:v>0.39600000000000002</c:v>
                </c:pt>
                <c:pt idx="9">
                  <c:v>0.41899999999999998</c:v>
                </c:pt>
                <c:pt idx="10">
                  <c:v>0.35799999999999998</c:v>
                </c:pt>
                <c:pt idx="11">
                  <c:v>0.35899999999999999</c:v>
                </c:pt>
                <c:pt idx="12">
                  <c:v>0.377</c:v>
                </c:pt>
                <c:pt idx="13">
                  <c:v>0.40500000000000003</c:v>
                </c:pt>
                <c:pt idx="14">
                  <c:v>0.40400000000000003</c:v>
                </c:pt>
                <c:pt idx="15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5-42E0-BE61-4EC48CAE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87168"/>
        <c:axId val="578389248"/>
      </c:scatterChart>
      <c:valAx>
        <c:axId val="5783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9248"/>
        <c:crosses val="autoZero"/>
        <c:crossBetween val="midCat"/>
      </c:valAx>
      <c:valAx>
        <c:axId val="5783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Sheet5!$G$2:$G$17</c:f>
              <c:numCache>
                <c:formatCode>General</c:formatCode>
                <c:ptCount val="16"/>
                <c:pt idx="0">
                  <c:v>51.68539325842697</c:v>
                </c:pt>
                <c:pt idx="1">
                  <c:v>48.369565217391305</c:v>
                </c:pt>
                <c:pt idx="2">
                  <c:v>45.045045045045043</c:v>
                </c:pt>
                <c:pt idx="3">
                  <c:v>46.590909090909086</c:v>
                </c:pt>
                <c:pt idx="4">
                  <c:v>47.692307692307693</c:v>
                </c:pt>
                <c:pt idx="5">
                  <c:v>46.308724832214764</c:v>
                </c:pt>
                <c:pt idx="6">
                  <c:v>53.237410071942449</c:v>
                </c:pt>
                <c:pt idx="7">
                  <c:v>52.023121387283233</c:v>
                </c:pt>
                <c:pt idx="8">
                  <c:v>46.979865771812079</c:v>
                </c:pt>
                <c:pt idx="9">
                  <c:v>49.723756906077348</c:v>
                </c:pt>
                <c:pt idx="10">
                  <c:v>50.40650406504065</c:v>
                </c:pt>
                <c:pt idx="11">
                  <c:v>48</c:v>
                </c:pt>
                <c:pt idx="12">
                  <c:v>42.622950819672127</c:v>
                </c:pt>
                <c:pt idx="13">
                  <c:v>46.666666666666664</c:v>
                </c:pt>
                <c:pt idx="14">
                  <c:v>44.571428571428569</c:v>
                </c:pt>
                <c:pt idx="15">
                  <c:v>52.610441767068274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2-4ECC-8810-111A347BC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74272"/>
        <c:axId val="578378432"/>
      </c:scatterChart>
      <c:valAx>
        <c:axId val="5783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78432"/>
        <c:crosses val="autoZero"/>
        <c:crossBetween val="midCat"/>
      </c:valAx>
      <c:valAx>
        <c:axId val="5783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93</c:v>
                </c:pt>
                <c:pt idx="1">
                  <c:v>98</c:v>
                </c:pt>
                <c:pt idx="2">
                  <c:v>83</c:v>
                </c:pt>
                <c:pt idx="3">
                  <c:v>92</c:v>
                </c:pt>
                <c:pt idx="4">
                  <c:v>78</c:v>
                </c:pt>
                <c:pt idx="5">
                  <c:v>63</c:v>
                </c:pt>
                <c:pt idx="6">
                  <c:v>46</c:v>
                </c:pt>
                <c:pt idx="7">
                  <c:v>79</c:v>
                </c:pt>
                <c:pt idx="8">
                  <c:v>81</c:v>
                </c:pt>
                <c:pt idx="9">
                  <c:v>90</c:v>
                </c:pt>
                <c:pt idx="10">
                  <c:v>128</c:v>
                </c:pt>
                <c:pt idx="11">
                  <c:v>98</c:v>
                </c:pt>
                <c:pt idx="12">
                  <c:v>115</c:v>
                </c:pt>
                <c:pt idx="13">
                  <c:v>92</c:v>
                </c:pt>
                <c:pt idx="1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3-42C8-8F36-B0E375A5D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66496"/>
        <c:axId val="677566912"/>
      </c:scatterChart>
      <c:valAx>
        <c:axId val="6775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6912"/>
        <c:crosses val="autoZero"/>
        <c:crossBetween val="midCat"/>
      </c:valAx>
      <c:valAx>
        <c:axId val="6775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Sheet5!$H$2:$H$17</c:f>
              <c:numCache>
                <c:formatCode>General</c:formatCode>
                <c:ptCount val="16"/>
                <c:pt idx="0">
                  <c:v>49.439601494396015</c:v>
                </c:pt>
                <c:pt idx="1">
                  <c:v>54.876462938881666</c:v>
                </c:pt>
                <c:pt idx="2">
                  <c:v>48.763250883392232</c:v>
                </c:pt>
                <c:pt idx="3">
                  <c:v>46.543209876543216</c:v>
                </c:pt>
                <c:pt idx="4">
                  <c:v>50.996015936254977</c:v>
                </c:pt>
                <c:pt idx="5">
                  <c:v>45.170068027210888</c:v>
                </c:pt>
                <c:pt idx="6">
                  <c:v>52.981029810298111</c:v>
                </c:pt>
                <c:pt idx="7">
                  <c:v>50.702028081123238</c:v>
                </c:pt>
                <c:pt idx="8">
                  <c:v>50.142857142857146</c:v>
                </c:pt>
                <c:pt idx="9">
                  <c:v>52.906976744186053</c:v>
                </c:pt>
                <c:pt idx="10">
                  <c:v>48.865619546247821</c:v>
                </c:pt>
                <c:pt idx="11">
                  <c:v>49.912739965095987</c:v>
                </c:pt>
                <c:pt idx="12">
                  <c:v>51.617873651771959</c:v>
                </c:pt>
                <c:pt idx="13">
                  <c:v>47.267759562841533</c:v>
                </c:pt>
                <c:pt idx="14">
                  <c:v>51.515151515151516</c:v>
                </c:pt>
                <c:pt idx="15">
                  <c:v>50.643274853801167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4-480B-8EB8-D56CE1DA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41184"/>
        <c:axId val="808241600"/>
      </c:scatterChart>
      <c:valAx>
        <c:axId val="8082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41600"/>
        <c:crosses val="autoZero"/>
        <c:crossBetween val="midCat"/>
      </c:valAx>
      <c:valAx>
        <c:axId val="8082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Sheet6!$C$2:$C$21</c:f>
              <c:numCache>
                <c:formatCode>General</c:formatCode>
                <c:ptCount val="20"/>
                <c:pt idx="0">
                  <c:v>5.18</c:v>
                </c:pt>
                <c:pt idx="1">
                  <c:v>4.47</c:v>
                </c:pt>
                <c:pt idx="2">
                  <c:v>3.76</c:v>
                </c:pt>
                <c:pt idx="3">
                  <c:v>4.5</c:v>
                </c:pt>
                <c:pt idx="4">
                  <c:v>3.89</c:v>
                </c:pt>
                <c:pt idx="5">
                  <c:v>3.62</c:v>
                </c:pt>
                <c:pt idx="6">
                  <c:v>3.4</c:v>
                </c:pt>
                <c:pt idx="7">
                  <c:v>3.83</c:v>
                </c:pt>
                <c:pt idx="8">
                  <c:v>3.27</c:v>
                </c:pt>
                <c:pt idx="9">
                  <c:v>4.49</c:v>
                </c:pt>
                <c:pt idx="10">
                  <c:v>3.53</c:v>
                </c:pt>
                <c:pt idx="11">
                  <c:v>4.4400000000000004</c:v>
                </c:pt>
                <c:pt idx="12">
                  <c:v>4.74</c:v>
                </c:pt>
                <c:pt idx="13">
                  <c:v>4.54</c:v>
                </c:pt>
                <c:pt idx="14">
                  <c:v>4.71</c:v>
                </c:pt>
                <c:pt idx="15">
                  <c:v>3.66</c:v>
                </c:pt>
                <c:pt idx="16">
                  <c:v>5.12</c:v>
                </c:pt>
                <c:pt idx="17">
                  <c:v>4.75</c:v>
                </c:pt>
                <c:pt idx="18">
                  <c:v>4.2</c:v>
                </c:pt>
                <c:pt idx="19">
                  <c:v>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0-4406-AE9B-C9FA8236B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8304"/>
        <c:axId val="716589120"/>
      </c:scatterChart>
      <c:valAx>
        <c:axId val="716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89120"/>
        <c:crosses val="autoZero"/>
        <c:crossBetween val="midCat"/>
      </c:valAx>
      <c:valAx>
        <c:axId val="7165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Opponent 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Sheet6!$D$2:$D$21</c:f>
              <c:numCache>
                <c:formatCode>General</c:formatCode>
                <c:ptCount val="20"/>
                <c:pt idx="0">
                  <c:v>0.46899999999999997</c:v>
                </c:pt>
                <c:pt idx="1">
                  <c:v>0.436</c:v>
                </c:pt>
                <c:pt idx="2">
                  <c:v>0.40300000000000002</c:v>
                </c:pt>
                <c:pt idx="3">
                  <c:v>0.43</c:v>
                </c:pt>
                <c:pt idx="4">
                  <c:v>0.39700000000000002</c:v>
                </c:pt>
                <c:pt idx="5">
                  <c:v>0.39</c:v>
                </c:pt>
                <c:pt idx="6">
                  <c:v>0.39200000000000002</c:v>
                </c:pt>
                <c:pt idx="7">
                  <c:v>0.40300000000000002</c:v>
                </c:pt>
                <c:pt idx="8">
                  <c:v>0.39600000000000002</c:v>
                </c:pt>
                <c:pt idx="9">
                  <c:v>0.42599999999999999</c:v>
                </c:pt>
                <c:pt idx="10">
                  <c:v>0.39700000000000002</c:v>
                </c:pt>
                <c:pt idx="11">
                  <c:v>0.42199999999999999</c:v>
                </c:pt>
                <c:pt idx="12">
                  <c:v>0.432</c:v>
                </c:pt>
                <c:pt idx="13">
                  <c:v>0.42499999999999999</c:v>
                </c:pt>
                <c:pt idx="14">
                  <c:v>0.43099999999999999</c:v>
                </c:pt>
                <c:pt idx="15">
                  <c:v>0.40300000000000002</c:v>
                </c:pt>
                <c:pt idx="16">
                  <c:v>0.47</c:v>
                </c:pt>
                <c:pt idx="17">
                  <c:v>0.45700000000000002</c:v>
                </c:pt>
                <c:pt idx="18">
                  <c:v>0.40400000000000003</c:v>
                </c:pt>
                <c:pt idx="19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A-44AB-BA32-42EC071A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31664"/>
        <c:axId val="817532496"/>
      </c:scatterChart>
      <c:valAx>
        <c:axId val="8175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32496"/>
        <c:crosses val="autoZero"/>
        <c:crossBetween val="midCat"/>
      </c:valAx>
      <c:valAx>
        <c:axId val="8175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Sheet6!$E$2:$E$21</c:f>
              <c:numCache>
                <c:formatCode>General</c:formatCode>
                <c:ptCount val="20"/>
                <c:pt idx="0">
                  <c:v>54</c:v>
                </c:pt>
                <c:pt idx="1">
                  <c:v>76</c:v>
                </c:pt>
                <c:pt idx="2">
                  <c:v>68</c:v>
                </c:pt>
                <c:pt idx="3">
                  <c:v>76</c:v>
                </c:pt>
                <c:pt idx="4">
                  <c:v>89</c:v>
                </c:pt>
                <c:pt idx="5">
                  <c:v>67</c:v>
                </c:pt>
                <c:pt idx="6">
                  <c:v>69</c:v>
                </c:pt>
                <c:pt idx="7">
                  <c:v>48</c:v>
                </c:pt>
                <c:pt idx="8">
                  <c:v>56</c:v>
                </c:pt>
                <c:pt idx="9">
                  <c:v>96</c:v>
                </c:pt>
                <c:pt idx="10">
                  <c:v>52</c:v>
                </c:pt>
                <c:pt idx="11">
                  <c:v>46</c:v>
                </c:pt>
                <c:pt idx="12">
                  <c:v>69</c:v>
                </c:pt>
                <c:pt idx="13">
                  <c:v>68</c:v>
                </c:pt>
                <c:pt idx="14">
                  <c:v>67</c:v>
                </c:pt>
                <c:pt idx="15">
                  <c:v>85</c:v>
                </c:pt>
                <c:pt idx="16">
                  <c:v>98</c:v>
                </c:pt>
                <c:pt idx="17">
                  <c:v>110</c:v>
                </c:pt>
                <c:pt idx="18">
                  <c:v>86</c:v>
                </c:pt>
                <c:pt idx="1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8-4C6B-9142-AD623E322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28224"/>
        <c:axId val="716635712"/>
      </c:scatterChart>
      <c:valAx>
        <c:axId val="7166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35712"/>
        <c:crosses val="autoZero"/>
        <c:crossBetween val="midCat"/>
      </c:valAx>
      <c:valAx>
        <c:axId val="716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Sheet6!$F$2:$F$21</c:f>
              <c:numCache>
                <c:formatCode>General</c:formatCode>
                <c:ptCount val="20"/>
                <c:pt idx="0">
                  <c:v>0.42399999999999999</c:v>
                </c:pt>
                <c:pt idx="1">
                  <c:v>0.434</c:v>
                </c:pt>
                <c:pt idx="2">
                  <c:v>0.439</c:v>
                </c:pt>
                <c:pt idx="3">
                  <c:v>0.435</c:v>
                </c:pt>
                <c:pt idx="4">
                  <c:v>0.42899999999999999</c:v>
                </c:pt>
                <c:pt idx="5">
                  <c:v>0.39900000000000002</c:v>
                </c:pt>
                <c:pt idx="6">
                  <c:v>0.439</c:v>
                </c:pt>
                <c:pt idx="7">
                  <c:v>0.376</c:v>
                </c:pt>
                <c:pt idx="8">
                  <c:v>0.42899999999999999</c:v>
                </c:pt>
                <c:pt idx="9">
                  <c:v>0.44800000000000001</c:v>
                </c:pt>
                <c:pt idx="10">
                  <c:v>0.42199999999999999</c:v>
                </c:pt>
                <c:pt idx="11">
                  <c:v>0.35899999999999999</c:v>
                </c:pt>
                <c:pt idx="12">
                  <c:v>0.41499999999999998</c:v>
                </c:pt>
                <c:pt idx="13">
                  <c:v>0.38100000000000001</c:v>
                </c:pt>
                <c:pt idx="14">
                  <c:v>0.40200000000000002</c:v>
                </c:pt>
                <c:pt idx="15">
                  <c:v>0.42399999999999999</c:v>
                </c:pt>
                <c:pt idx="16">
                  <c:v>0.42399999999999999</c:v>
                </c:pt>
                <c:pt idx="17">
                  <c:v>0.45700000000000002</c:v>
                </c:pt>
                <c:pt idx="18">
                  <c:v>0.42899999999999999</c:v>
                </c:pt>
                <c:pt idx="19">
                  <c:v>0.47899999999999998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E-4626-AA62-C78185D0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30064"/>
        <c:axId val="921930896"/>
      </c:scatterChart>
      <c:valAx>
        <c:axId val="9219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30896"/>
        <c:crosses val="autoZero"/>
        <c:crossBetween val="midCat"/>
      </c:valAx>
      <c:valAx>
        <c:axId val="9219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Sheet6!$G$2:$G$21</c:f>
              <c:numCache>
                <c:formatCode>General</c:formatCode>
                <c:ptCount val="20"/>
                <c:pt idx="0">
                  <c:v>46.551724137931032</c:v>
                </c:pt>
                <c:pt idx="1">
                  <c:v>46.341463414634148</c:v>
                </c:pt>
                <c:pt idx="2">
                  <c:v>40.718562874251496</c:v>
                </c:pt>
                <c:pt idx="3">
                  <c:v>49.032258064516128</c:v>
                </c:pt>
                <c:pt idx="4">
                  <c:v>46.596858638743456</c:v>
                </c:pt>
                <c:pt idx="5">
                  <c:v>50</c:v>
                </c:pt>
                <c:pt idx="6">
                  <c:v>48.251748251748253</c:v>
                </c:pt>
                <c:pt idx="7">
                  <c:v>55.214723926380373</c:v>
                </c:pt>
                <c:pt idx="8">
                  <c:v>55.652173913043477</c:v>
                </c:pt>
                <c:pt idx="9">
                  <c:v>49.494949494949495</c:v>
                </c:pt>
                <c:pt idx="10">
                  <c:v>48.319327731092436</c:v>
                </c:pt>
                <c:pt idx="11">
                  <c:v>44.878048780487809</c:v>
                </c:pt>
                <c:pt idx="12">
                  <c:v>52.083333333333336</c:v>
                </c:pt>
                <c:pt idx="13">
                  <c:v>47.826086956521742</c:v>
                </c:pt>
                <c:pt idx="14">
                  <c:v>52.34375</c:v>
                </c:pt>
                <c:pt idx="15">
                  <c:v>54.487179487179482</c:v>
                </c:pt>
                <c:pt idx="16">
                  <c:v>49</c:v>
                </c:pt>
                <c:pt idx="17">
                  <c:v>53.398058252427184</c:v>
                </c:pt>
                <c:pt idx="18">
                  <c:v>51.807228915662648</c:v>
                </c:pt>
                <c:pt idx="19">
                  <c:v>44.625407166123779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6-496B-9196-564F0A5E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83648"/>
        <c:axId val="685984064"/>
      </c:scatterChart>
      <c:valAx>
        <c:axId val="6859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84064"/>
        <c:crosses val="autoZero"/>
        <c:crossBetween val="midCat"/>
      </c:valAx>
      <c:valAx>
        <c:axId val="6859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8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Sheet6!$H$2:$H$21</c:f>
              <c:numCache>
                <c:formatCode>General</c:formatCode>
                <c:ptCount val="20"/>
                <c:pt idx="0">
                  <c:v>54.946524064171122</c:v>
                </c:pt>
                <c:pt idx="1">
                  <c:v>50.972762645914393</c:v>
                </c:pt>
                <c:pt idx="2">
                  <c:v>51.495448634590382</c:v>
                </c:pt>
                <c:pt idx="3">
                  <c:v>49.812734082397</c:v>
                </c:pt>
                <c:pt idx="4">
                  <c:v>52.179487179487182</c:v>
                </c:pt>
                <c:pt idx="5">
                  <c:v>50.581395348837212</c:v>
                </c:pt>
                <c:pt idx="6">
                  <c:v>52.55930087390761</c:v>
                </c:pt>
                <c:pt idx="7">
                  <c:v>50.556438791732901</c:v>
                </c:pt>
                <c:pt idx="8">
                  <c:v>50.342935528120712</c:v>
                </c:pt>
                <c:pt idx="9">
                  <c:v>46.132596685082873</c:v>
                </c:pt>
                <c:pt idx="10">
                  <c:v>44.084821428571431</c:v>
                </c:pt>
                <c:pt idx="11">
                  <c:v>46.800501882057716</c:v>
                </c:pt>
                <c:pt idx="12">
                  <c:v>53.152173913043477</c:v>
                </c:pt>
                <c:pt idx="13">
                  <c:v>50.179211469534046</c:v>
                </c:pt>
                <c:pt idx="14">
                  <c:v>51.468531468531467</c:v>
                </c:pt>
                <c:pt idx="15">
                  <c:v>53.59195402298851</c:v>
                </c:pt>
                <c:pt idx="16">
                  <c:v>48.199445983379505</c:v>
                </c:pt>
                <c:pt idx="17">
                  <c:v>51.533742331288344</c:v>
                </c:pt>
                <c:pt idx="18">
                  <c:v>53.794037940379404</c:v>
                </c:pt>
                <c:pt idx="19">
                  <c:v>47.071352502662407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D-4438-85B5-447FF06B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91744"/>
        <c:axId val="578385088"/>
      </c:scatterChart>
      <c:valAx>
        <c:axId val="5783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5088"/>
        <c:crosses val="autoZero"/>
        <c:crossBetween val="midCat"/>
      </c:valAx>
      <c:valAx>
        <c:axId val="5783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Sheet7!$C$2:$C$21</c:f>
              <c:numCache>
                <c:formatCode>General</c:formatCode>
                <c:ptCount val="20"/>
                <c:pt idx="0">
                  <c:v>3.54</c:v>
                </c:pt>
                <c:pt idx="1">
                  <c:v>3.72</c:v>
                </c:pt>
                <c:pt idx="2">
                  <c:v>3.62</c:v>
                </c:pt>
                <c:pt idx="3">
                  <c:v>4.3099999999999996</c:v>
                </c:pt>
                <c:pt idx="4">
                  <c:v>3.73</c:v>
                </c:pt>
                <c:pt idx="5">
                  <c:v>3.45</c:v>
                </c:pt>
                <c:pt idx="6">
                  <c:v>3.76</c:v>
                </c:pt>
                <c:pt idx="7">
                  <c:v>4.2</c:v>
                </c:pt>
                <c:pt idx="8">
                  <c:v>3.78</c:v>
                </c:pt>
                <c:pt idx="9">
                  <c:v>3.98</c:v>
                </c:pt>
                <c:pt idx="10">
                  <c:v>3.07</c:v>
                </c:pt>
                <c:pt idx="11">
                  <c:v>3.89</c:v>
                </c:pt>
                <c:pt idx="12">
                  <c:v>4.0199999999999996</c:v>
                </c:pt>
                <c:pt idx="13">
                  <c:v>3.58</c:v>
                </c:pt>
                <c:pt idx="14">
                  <c:v>3.25</c:v>
                </c:pt>
                <c:pt idx="15">
                  <c:v>3.18</c:v>
                </c:pt>
                <c:pt idx="16">
                  <c:v>3.41</c:v>
                </c:pt>
                <c:pt idx="17">
                  <c:v>4.41</c:v>
                </c:pt>
                <c:pt idx="18">
                  <c:v>3.54</c:v>
                </c:pt>
                <c:pt idx="19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B-42BB-A759-8BEE2C36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87248"/>
        <c:axId val="684387664"/>
      </c:scatterChart>
      <c:valAx>
        <c:axId val="6843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7664"/>
        <c:crosses val="autoZero"/>
        <c:crossBetween val="midCat"/>
      </c:valAx>
      <c:valAx>
        <c:axId val="6843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Opponent 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Sheet7!$D$2:$D$21</c:f>
              <c:numCache>
                <c:formatCode>General</c:formatCode>
                <c:ptCount val="20"/>
                <c:pt idx="0">
                  <c:v>0.37</c:v>
                </c:pt>
                <c:pt idx="1">
                  <c:v>0.40200000000000002</c:v>
                </c:pt>
                <c:pt idx="2">
                  <c:v>0.38900000000000001</c:v>
                </c:pt>
                <c:pt idx="3">
                  <c:v>0.42599999999999999</c:v>
                </c:pt>
                <c:pt idx="4">
                  <c:v>0.38400000000000001</c:v>
                </c:pt>
                <c:pt idx="5">
                  <c:v>0.377</c:v>
                </c:pt>
                <c:pt idx="6">
                  <c:v>0.38800000000000001</c:v>
                </c:pt>
                <c:pt idx="7">
                  <c:v>0.39300000000000002</c:v>
                </c:pt>
                <c:pt idx="8">
                  <c:v>0.36899999999999999</c:v>
                </c:pt>
                <c:pt idx="9">
                  <c:v>0.39600000000000002</c:v>
                </c:pt>
                <c:pt idx="10">
                  <c:v>0.35</c:v>
                </c:pt>
                <c:pt idx="11">
                  <c:v>0.379</c:v>
                </c:pt>
                <c:pt idx="12">
                  <c:v>0.39</c:v>
                </c:pt>
                <c:pt idx="13">
                  <c:v>0.38800000000000001</c:v>
                </c:pt>
                <c:pt idx="14">
                  <c:v>0.38100000000000001</c:v>
                </c:pt>
                <c:pt idx="15">
                  <c:v>0.36899999999999999</c:v>
                </c:pt>
                <c:pt idx="16">
                  <c:v>0.373</c:v>
                </c:pt>
                <c:pt idx="17">
                  <c:v>0.41499999999999998</c:v>
                </c:pt>
                <c:pt idx="18">
                  <c:v>0.37</c:v>
                </c:pt>
                <c:pt idx="19">
                  <c:v>0.39600000000000002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0-4AA5-AF75-0BB2306F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18352"/>
        <c:axId val="814317936"/>
      </c:scatterChart>
      <c:valAx>
        <c:axId val="8143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17936"/>
        <c:crosses val="autoZero"/>
        <c:crossBetween val="midCat"/>
      </c:valAx>
      <c:valAx>
        <c:axId val="8143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Sheet7!$E$2:$E$21</c:f>
              <c:numCache>
                <c:formatCode>General</c:formatCode>
                <c:ptCount val="20"/>
                <c:pt idx="0">
                  <c:v>93</c:v>
                </c:pt>
                <c:pt idx="1">
                  <c:v>65</c:v>
                </c:pt>
                <c:pt idx="2">
                  <c:v>81</c:v>
                </c:pt>
                <c:pt idx="3">
                  <c:v>54</c:v>
                </c:pt>
                <c:pt idx="4">
                  <c:v>85</c:v>
                </c:pt>
                <c:pt idx="5">
                  <c:v>83</c:v>
                </c:pt>
                <c:pt idx="6">
                  <c:v>96</c:v>
                </c:pt>
                <c:pt idx="7">
                  <c:v>83</c:v>
                </c:pt>
                <c:pt idx="8">
                  <c:v>95</c:v>
                </c:pt>
                <c:pt idx="9">
                  <c:v>49</c:v>
                </c:pt>
                <c:pt idx="10">
                  <c:v>63</c:v>
                </c:pt>
                <c:pt idx="11">
                  <c:v>50</c:v>
                </c:pt>
                <c:pt idx="12">
                  <c:v>67</c:v>
                </c:pt>
                <c:pt idx="13">
                  <c:v>59</c:v>
                </c:pt>
                <c:pt idx="14">
                  <c:v>59</c:v>
                </c:pt>
                <c:pt idx="15">
                  <c:v>85</c:v>
                </c:pt>
                <c:pt idx="16">
                  <c:v>112</c:v>
                </c:pt>
                <c:pt idx="17">
                  <c:v>101</c:v>
                </c:pt>
                <c:pt idx="18">
                  <c:v>75</c:v>
                </c:pt>
                <c:pt idx="19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E-48DC-9D4D-A1BA1611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54688"/>
        <c:axId val="725352608"/>
      </c:scatterChart>
      <c:valAx>
        <c:axId val="7253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52608"/>
        <c:crosses val="autoZero"/>
        <c:crossBetween val="midCat"/>
      </c:valAx>
      <c:valAx>
        <c:axId val="7253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0.436</c:v>
                </c:pt>
                <c:pt idx="1">
                  <c:v>0.43</c:v>
                </c:pt>
                <c:pt idx="2">
                  <c:v>0.42199999999999999</c:v>
                </c:pt>
                <c:pt idx="3">
                  <c:v>0.443</c:v>
                </c:pt>
                <c:pt idx="4">
                  <c:v>0.41799999999999998</c:v>
                </c:pt>
                <c:pt idx="5">
                  <c:v>0.375</c:v>
                </c:pt>
                <c:pt idx="6">
                  <c:v>0.38400000000000001</c:v>
                </c:pt>
                <c:pt idx="7">
                  <c:v>0.38500000000000001</c:v>
                </c:pt>
                <c:pt idx="8">
                  <c:v>0.374</c:v>
                </c:pt>
                <c:pt idx="9">
                  <c:v>0.39800000000000002</c:v>
                </c:pt>
                <c:pt idx="10">
                  <c:v>0.46200000000000002</c:v>
                </c:pt>
                <c:pt idx="11">
                  <c:v>0.40699999999999997</c:v>
                </c:pt>
                <c:pt idx="12">
                  <c:v>0.47199999999999998</c:v>
                </c:pt>
                <c:pt idx="13">
                  <c:v>0.40300000000000002</c:v>
                </c:pt>
                <c:pt idx="14">
                  <c:v>0.51600000000000001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4-4864-B4CF-A74D889E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66080"/>
        <c:axId val="677564832"/>
      </c:scatterChart>
      <c:valAx>
        <c:axId val="6775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4832"/>
        <c:crosses val="autoZero"/>
        <c:crossBetween val="midCat"/>
      </c:valAx>
      <c:valAx>
        <c:axId val="6775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Sheet7!$F$2:$F$21</c:f>
              <c:numCache>
                <c:formatCode>General</c:formatCode>
                <c:ptCount val="20"/>
                <c:pt idx="0">
                  <c:v>0.42799999999999999</c:v>
                </c:pt>
                <c:pt idx="1">
                  <c:v>0.371</c:v>
                </c:pt>
                <c:pt idx="2">
                  <c:v>0.38600000000000001</c:v>
                </c:pt>
                <c:pt idx="3">
                  <c:v>0.374</c:v>
                </c:pt>
                <c:pt idx="4">
                  <c:v>0.40600000000000003</c:v>
                </c:pt>
                <c:pt idx="5">
                  <c:v>0.41099999999999998</c:v>
                </c:pt>
                <c:pt idx="6">
                  <c:v>0.434</c:v>
                </c:pt>
                <c:pt idx="7">
                  <c:v>0.42499999999999999</c:v>
                </c:pt>
                <c:pt idx="8">
                  <c:v>0.43</c:v>
                </c:pt>
                <c:pt idx="9">
                  <c:v>0.40799999999999997</c:v>
                </c:pt>
                <c:pt idx="10">
                  <c:v>0.39300000000000002</c:v>
                </c:pt>
                <c:pt idx="11">
                  <c:v>0.39100000000000001</c:v>
                </c:pt>
                <c:pt idx="12">
                  <c:v>0.37</c:v>
                </c:pt>
                <c:pt idx="13">
                  <c:v>0.33800000000000002</c:v>
                </c:pt>
                <c:pt idx="14">
                  <c:v>0.34899999999999998</c:v>
                </c:pt>
                <c:pt idx="15">
                  <c:v>0.38900000000000001</c:v>
                </c:pt>
                <c:pt idx="16">
                  <c:v>0.41</c:v>
                </c:pt>
                <c:pt idx="17">
                  <c:v>0.40899999999999997</c:v>
                </c:pt>
                <c:pt idx="18">
                  <c:v>0.35399999999999998</c:v>
                </c:pt>
                <c:pt idx="19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9-47D7-A511-23116A61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53440"/>
        <c:axId val="725354688"/>
      </c:scatterChart>
      <c:valAx>
        <c:axId val="7253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54688"/>
        <c:crosses val="autoZero"/>
        <c:crossBetween val="midCat"/>
      </c:valAx>
      <c:valAx>
        <c:axId val="7253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Sheet7!$G$2:$G$21</c:f>
              <c:numCache>
                <c:formatCode>General</c:formatCode>
                <c:ptCount val="20"/>
                <c:pt idx="0">
                  <c:v>46.969696969696969</c:v>
                </c:pt>
                <c:pt idx="1">
                  <c:v>44.217687074829932</c:v>
                </c:pt>
                <c:pt idx="2">
                  <c:v>50.625</c:v>
                </c:pt>
                <c:pt idx="3">
                  <c:v>43.548387096774192</c:v>
                </c:pt>
                <c:pt idx="4">
                  <c:v>45.945945945945951</c:v>
                </c:pt>
                <c:pt idx="5">
                  <c:v>47.428571428571431</c:v>
                </c:pt>
                <c:pt idx="6">
                  <c:v>48</c:v>
                </c:pt>
                <c:pt idx="7">
                  <c:v>46.89265536723164</c:v>
                </c:pt>
                <c:pt idx="8">
                  <c:v>55.232558139534881</c:v>
                </c:pt>
                <c:pt idx="9">
                  <c:v>51.578947368421055</c:v>
                </c:pt>
                <c:pt idx="10">
                  <c:v>49.21875</c:v>
                </c:pt>
                <c:pt idx="11">
                  <c:v>46.296296296296298</c:v>
                </c:pt>
                <c:pt idx="12">
                  <c:v>48.201438848920866</c:v>
                </c:pt>
                <c:pt idx="13">
                  <c:v>45.384615384615387</c:v>
                </c:pt>
                <c:pt idx="14">
                  <c:v>47.199999999999996</c:v>
                </c:pt>
                <c:pt idx="15">
                  <c:v>48.022598870056498</c:v>
                </c:pt>
                <c:pt idx="16">
                  <c:v>51.37614678899083</c:v>
                </c:pt>
                <c:pt idx="17">
                  <c:v>45.089285714285715</c:v>
                </c:pt>
                <c:pt idx="18">
                  <c:v>44.117647058823529</c:v>
                </c:pt>
                <c:pt idx="19">
                  <c:v>52.066115702479344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1-42A5-8F16-BCE521EA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3264"/>
        <c:axId val="124394512"/>
      </c:scatterChart>
      <c:valAx>
        <c:axId val="1243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4512"/>
        <c:crosses val="autoZero"/>
        <c:crossBetween val="midCat"/>
      </c:valAx>
      <c:valAx>
        <c:axId val="1243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Sheet7!$H$2:$H$21</c:f>
              <c:numCache>
                <c:formatCode>General</c:formatCode>
                <c:ptCount val="20"/>
                <c:pt idx="0">
                  <c:v>48.574969021065669</c:v>
                </c:pt>
                <c:pt idx="1">
                  <c:v>46.261682242990652</c:v>
                </c:pt>
                <c:pt idx="2">
                  <c:v>46.521739130434781</c:v>
                </c:pt>
                <c:pt idx="3">
                  <c:v>47.663551401869157</c:v>
                </c:pt>
                <c:pt idx="4">
                  <c:v>50</c:v>
                </c:pt>
                <c:pt idx="5">
                  <c:v>50.277008310249307</c:v>
                </c:pt>
                <c:pt idx="6">
                  <c:v>47.362110311750598</c:v>
                </c:pt>
                <c:pt idx="7">
                  <c:v>45.646766169154226</c:v>
                </c:pt>
                <c:pt idx="8">
                  <c:v>48.560700876095119</c:v>
                </c:pt>
                <c:pt idx="9">
                  <c:v>51.117734724292099</c:v>
                </c:pt>
                <c:pt idx="10">
                  <c:v>50.914634146341463</c:v>
                </c:pt>
                <c:pt idx="11">
                  <c:v>45.682451253481894</c:v>
                </c:pt>
                <c:pt idx="12">
                  <c:v>44.153846153846153</c:v>
                </c:pt>
                <c:pt idx="13">
                  <c:v>43.295638126009692</c:v>
                </c:pt>
                <c:pt idx="14">
                  <c:v>45.468998410174883</c:v>
                </c:pt>
                <c:pt idx="15">
                  <c:v>45.827232796486086</c:v>
                </c:pt>
                <c:pt idx="16">
                  <c:v>50.521609538002977</c:v>
                </c:pt>
                <c:pt idx="17">
                  <c:v>45.442176870748305</c:v>
                </c:pt>
                <c:pt idx="18">
                  <c:v>40.532544378698226</c:v>
                </c:pt>
                <c:pt idx="19">
                  <c:v>48.040455120101136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2-45A2-877B-066F895A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64368"/>
        <c:axId val="941061872"/>
      </c:scatterChart>
      <c:valAx>
        <c:axId val="9410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61872"/>
        <c:crosses val="autoZero"/>
        <c:crossBetween val="midCat"/>
      </c:valAx>
      <c:valAx>
        <c:axId val="9410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Sheet8!$C$2:$C$16</c:f>
              <c:numCache>
                <c:formatCode>General</c:formatCode>
                <c:ptCount val="15"/>
                <c:pt idx="0">
                  <c:v>3.56</c:v>
                </c:pt>
                <c:pt idx="1">
                  <c:v>4.66</c:v>
                </c:pt>
                <c:pt idx="2">
                  <c:v>4.08</c:v>
                </c:pt>
                <c:pt idx="3">
                  <c:v>4.57</c:v>
                </c:pt>
                <c:pt idx="4">
                  <c:v>4.6900000000000004</c:v>
                </c:pt>
                <c:pt idx="5">
                  <c:v>3.97</c:v>
                </c:pt>
                <c:pt idx="6">
                  <c:v>3.36</c:v>
                </c:pt>
                <c:pt idx="7">
                  <c:v>3.29</c:v>
                </c:pt>
                <c:pt idx="8">
                  <c:v>3.37</c:v>
                </c:pt>
                <c:pt idx="9">
                  <c:v>2.87</c:v>
                </c:pt>
                <c:pt idx="10">
                  <c:v>3.38</c:v>
                </c:pt>
                <c:pt idx="11">
                  <c:v>3.42</c:v>
                </c:pt>
                <c:pt idx="12">
                  <c:v>3.93</c:v>
                </c:pt>
                <c:pt idx="13">
                  <c:v>4.21</c:v>
                </c:pt>
                <c:pt idx="14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9-4E42-8FEC-B884670E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4928"/>
        <c:axId val="124392432"/>
      </c:scatterChart>
      <c:valAx>
        <c:axId val="1243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2432"/>
        <c:crosses val="autoZero"/>
        <c:crossBetween val="midCat"/>
      </c:valAx>
      <c:valAx>
        <c:axId val="1243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Opponent 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Sheet8!$D$2:$D$16</c:f>
              <c:numCache>
                <c:formatCode>General</c:formatCode>
                <c:ptCount val="15"/>
                <c:pt idx="0">
                  <c:v>0.371</c:v>
                </c:pt>
                <c:pt idx="1">
                  <c:v>0.42299999999999999</c:v>
                </c:pt>
                <c:pt idx="2">
                  <c:v>0.40200000000000002</c:v>
                </c:pt>
                <c:pt idx="3">
                  <c:v>0.434</c:v>
                </c:pt>
                <c:pt idx="4">
                  <c:v>0.43099999999999999</c:v>
                </c:pt>
                <c:pt idx="5">
                  <c:v>0.39800000000000002</c:v>
                </c:pt>
                <c:pt idx="6">
                  <c:v>0.379</c:v>
                </c:pt>
                <c:pt idx="7">
                  <c:v>0.378</c:v>
                </c:pt>
                <c:pt idx="8">
                  <c:v>0.375</c:v>
                </c:pt>
                <c:pt idx="9">
                  <c:v>0.34</c:v>
                </c:pt>
                <c:pt idx="10">
                  <c:v>0.37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0.42899999999999999</c:v>
                </c:pt>
                <c:pt idx="14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6-446A-9831-640AFBCE6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694368"/>
        <c:axId val="921691456"/>
      </c:scatterChart>
      <c:valAx>
        <c:axId val="9216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91456"/>
        <c:crosses val="autoZero"/>
        <c:crossBetween val="midCat"/>
      </c:valAx>
      <c:valAx>
        <c:axId val="9216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Sheet8!$E$2:$E$16</c:f>
              <c:numCache>
                <c:formatCode>General</c:formatCode>
                <c:ptCount val="15"/>
                <c:pt idx="0">
                  <c:v>46</c:v>
                </c:pt>
                <c:pt idx="1">
                  <c:v>74</c:v>
                </c:pt>
                <c:pt idx="2">
                  <c:v>48</c:v>
                </c:pt>
                <c:pt idx="3">
                  <c:v>51</c:v>
                </c:pt>
                <c:pt idx="4">
                  <c:v>76</c:v>
                </c:pt>
                <c:pt idx="5">
                  <c:v>74</c:v>
                </c:pt>
                <c:pt idx="6">
                  <c:v>83</c:v>
                </c:pt>
                <c:pt idx="7">
                  <c:v>101</c:v>
                </c:pt>
                <c:pt idx="8">
                  <c:v>70</c:v>
                </c:pt>
                <c:pt idx="9">
                  <c:v>63</c:v>
                </c:pt>
                <c:pt idx="10">
                  <c:v>91</c:v>
                </c:pt>
                <c:pt idx="11">
                  <c:v>102</c:v>
                </c:pt>
                <c:pt idx="12">
                  <c:v>107</c:v>
                </c:pt>
                <c:pt idx="13">
                  <c:v>96</c:v>
                </c:pt>
                <c:pt idx="1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3-47B2-9B4E-6E5E3296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42288"/>
        <c:axId val="818942704"/>
      </c:scatterChart>
      <c:valAx>
        <c:axId val="8189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42704"/>
        <c:crosses val="autoZero"/>
        <c:crossBetween val="midCat"/>
      </c:valAx>
      <c:valAx>
        <c:axId val="8189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Sheet8!$F$2:$F$16</c:f>
              <c:numCache>
                <c:formatCode>General</c:formatCode>
                <c:ptCount val="15"/>
                <c:pt idx="0">
                  <c:v>0.36199999999999999</c:v>
                </c:pt>
                <c:pt idx="1">
                  <c:v>0.40899999999999997</c:v>
                </c:pt>
                <c:pt idx="2">
                  <c:v>0.38300000000000001</c:v>
                </c:pt>
                <c:pt idx="3">
                  <c:v>0.36799999999999999</c:v>
                </c:pt>
                <c:pt idx="4">
                  <c:v>0.40799999999999997</c:v>
                </c:pt>
                <c:pt idx="5">
                  <c:v>0.40500000000000003</c:v>
                </c:pt>
                <c:pt idx="6">
                  <c:v>0.40300000000000002</c:v>
                </c:pt>
                <c:pt idx="7">
                  <c:v>0.433</c:v>
                </c:pt>
                <c:pt idx="8">
                  <c:v>0.40600000000000003</c:v>
                </c:pt>
                <c:pt idx="9">
                  <c:v>0.39700000000000002</c:v>
                </c:pt>
                <c:pt idx="10">
                  <c:v>0.41499999999999998</c:v>
                </c:pt>
                <c:pt idx="11">
                  <c:v>0.42299999999999999</c:v>
                </c:pt>
                <c:pt idx="12">
                  <c:v>0.47099999999999997</c:v>
                </c:pt>
                <c:pt idx="13">
                  <c:v>0.436</c:v>
                </c:pt>
                <c:pt idx="14">
                  <c:v>0.48799999999999999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8-42B9-B7A9-959913026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34144"/>
        <c:axId val="581139136"/>
      </c:scatterChart>
      <c:valAx>
        <c:axId val="5811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9136"/>
        <c:crosses val="autoZero"/>
        <c:crossBetween val="midCat"/>
      </c:valAx>
      <c:valAx>
        <c:axId val="5811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560185185185185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Sheet8!$G$1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Sheet8!$G$2:$G$16</c:f>
              <c:numCache>
                <c:formatCode>General</c:formatCode>
                <c:ptCount val="15"/>
                <c:pt idx="0">
                  <c:v>40</c:v>
                </c:pt>
                <c:pt idx="1">
                  <c:v>45.121951219512198</c:v>
                </c:pt>
                <c:pt idx="2">
                  <c:v>39.024390243902438</c:v>
                </c:pt>
                <c:pt idx="3">
                  <c:v>43.589743589743591</c:v>
                </c:pt>
                <c:pt idx="4">
                  <c:v>48.717948717948715</c:v>
                </c:pt>
                <c:pt idx="5">
                  <c:v>49.664429530201346</c:v>
                </c:pt>
                <c:pt idx="6">
                  <c:v>53.896103896103895</c:v>
                </c:pt>
                <c:pt idx="7">
                  <c:v>52.0618556701031</c:v>
                </c:pt>
                <c:pt idx="8">
                  <c:v>43.478260869565219</c:v>
                </c:pt>
                <c:pt idx="9">
                  <c:v>41.44736842105263</c:v>
                </c:pt>
                <c:pt idx="10">
                  <c:v>51.41242937853108</c:v>
                </c:pt>
                <c:pt idx="11">
                  <c:v>50.246305418719217</c:v>
                </c:pt>
                <c:pt idx="12">
                  <c:v>49.767441860465119</c:v>
                </c:pt>
                <c:pt idx="13">
                  <c:v>50.261780104712038</c:v>
                </c:pt>
                <c:pt idx="14">
                  <c:v>56.277056277056282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A-4271-8081-EAA16F62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38624"/>
        <c:axId val="921242784"/>
      </c:scatterChart>
      <c:valAx>
        <c:axId val="9212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42784"/>
        <c:crosses val="autoZero"/>
        <c:crossBetween val="midCat"/>
      </c:valAx>
      <c:valAx>
        <c:axId val="921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Sheet8!$H$2:$H$16</c:f>
              <c:numCache>
                <c:formatCode>General</c:formatCode>
                <c:ptCount val="15"/>
                <c:pt idx="0">
                  <c:v>45.226917057902973</c:v>
                </c:pt>
                <c:pt idx="1">
                  <c:v>50</c:v>
                </c:pt>
                <c:pt idx="2">
                  <c:v>48.142644873699851</c:v>
                </c:pt>
                <c:pt idx="3">
                  <c:v>49.297971918876755</c:v>
                </c:pt>
                <c:pt idx="4">
                  <c:v>51.971830985915489</c:v>
                </c:pt>
                <c:pt idx="5">
                  <c:v>49.92366412213741</c:v>
                </c:pt>
                <c:pt idx="6">
                  <c:v>49.839743589743591</c:v>
                </c:pt>
                <c:pt idx="7">
                  <c:v>50.205198358413128</c:v>
                </c:pt>
                <c:pt idx="8">
                  <c:v>53.201219512195117</c:v>
                </c:pt>
                <c:pt idx="9">
                  <c:v>52.76967930029155</c:v>
                </c:pt>
                <c:pt idx="10">
                  <c:v>51.209103840682793</c:v>
                </c:pt>
                <c:pt idx="11">
                  <c:v>47.83748361730013</c:v>
                </c:pt>
                <c:pt idx="12">
                  <c:v>51.404151404151399</c:v>
                </c:pt>
                <c:pt idx="13">
                  <c:v>53.047989623865114</c:v>
                </c:pt>
                <c:pt idx="14">
                  <c:v>51.890034364261176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E-4919-AFF4-A8289186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53216"/>
        <c:axId val="915051968"/>
      </c:scatterChart>
      <c:valAx>
        <c:axId val="9150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51968"/>
        <c:crosses val="autoZero"/>
        <c:crossBetween val="midCat"/>
      </c:valAx>
      <c:valAx>
        <c:axId val="9150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Sheet9!$C$2:$C$24</c:f>
              <c:numCache>
                <c:formatCode>General</c:formatCode>
                <c:ptCount val="23"/>
                <c:pt idx="0">
                  <c:v>3.88</c:v>
                </c:pt>
                <c:pt idx="1">
                  <c:v>3.98</c:v>
                </c:pt>
                <c:pt idx="2">
                  <c:v>4.63</c:v>
                </c:pt>
                <c:pt idx="3">
                  <c:v>4.37</c:v>
                </c:pt>
                <c:pt idx="4">
                  <c:v>3.43</c:v>
                </c:pt>
                <c:pt idx="5">
                  <c:v>3.14</c:v>
                </c:pt>
                <c:pt idx="6">
                  <c:v>4.22</c:v>
                </c:pt>
                <c:pt idx="7">
                  <c:v>3.54</c:v>
                </c:pt>
                <c:pt idx="8">
                  <c:v>3.44</c:v>
                </c:pt>
                <c:pt idx="9">
                  <c:v>3.93</c:v>
                </c:pt>
                <c:pt idx="10">
                  <c:v>4.17</c:v>
                </c:pt>
                <c:pt idx="11">
                  <c:v>4.0599999999999996</c:v>
                </c:pt>
                <c:pt idx="12">
                  <c:v>3.44</c:v>
                </c:pt>
                <c:pt idx="13">
                  <c:v>2.92</c:v>
                </c:pt>
                <c:pt idx="14">
                  <c:v>3.59</c:v>
                </c:pt>
                <c:pt idx="15">
                  <c:v>3.27</c:v>
                </c:pt>
                <c:pt idx="16">
                  <c:v>3.1</c:v>
                </c:pt>
                <c:pt idx="17">
                  <c:v>3.42</c:v>
                </c:pt>
                <c:pt idx="18">
                  <c:v>2.7</c:v>
                </c:pt>
                <c:pt idx="19">
                  <c:v>4.08</c:v>
                </c:pt>
                <c:pt idx="20">
                  <c:v>3.6</c:v>
                </c:pt>
                <c:pt idx="21">
                  <c:v>3.78</c:v>
                </c:pt>
                <c:pt idx="2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0-44D2-B964-DC4CAA6A0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85920"/>
        <c:axId val="578386752"/>
      </c:scatterChart>
      <c:valAx>
        <c:axId val="5783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6752"/>
        <c:crosses val="autoZero"/>
        <c:crossBetween val="midCat"/>
      </c:valAx>
      <c:valAx>
        <c:axId val="5783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57.763975155279503</c:v>
                </c:pt>
                <c:pt idx="1">
                  <c:v>56.321839080459768</c:v>
                </c:pt>
                <c:pt idx="2">
                  <c:v>49.700598802395206</c:v>
                </c:pt>
                <c:pt idx="3">
                  <c:v>55.08982035928144</c:v>
                </c:pt>
                <c:pt idx="4">
                  <c:v>54.929577464788736</c:v>
                </c:pt>
                <c:pt idx="5">
                  <c:v>58.333333333333336</c:v>
                </c:pt>
                <c:pt idx="6">
                  <c:v>48.421052631578945</c:v>
                </c:pt>
                <c:pt idx="7">
                  <c:v>54.109589041095894</c:v>
                </c:pt>
                <c:pt idx="8">
                  <c:v>54.729729729729726</c:v>
                </c:pt>
                <c:pt idx="9">
                  <c:v>55.214723926380373</c:v>
                </c:pt>
                <c:pt idx="10">
                  <c:v>55.652173913043477</c:v>
                </c:pt>
                <c:pt idx="11">
                  <c:v>49.494949494949495</c:v>
                </c:pt>
                <c:pt idx="12">
                  <c:v>48.319327731092436</c:v>
                </c:pt>
                <c:pt idx="13">
                  <c:v>44.878048780487809</c:v>
                </c:pt>
                <c:pt idx="14">
                  <c:v>52.083333333333336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4-4FFB-984E-DBB7274A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59136"/>
        <c:axId val="581266624"/>
      </c:scatterChart>
      <c:valAx>
        <c:axId val="58125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66624"/>
        <c:crosses val="autoZero"/>
        <c:crossBetween val="midCat"/>
      </c:valAx>
      <c:valAx>
        <c:axId val="5812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5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Sheet9!$D$1</c:f>
              <c:strCache>
                <c:ptCount val="1"/>
                <c:pt idx="0">
                  <c:v>Opponent 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Sheet9!$D$2:$D$24</c:f>
              <c:numCache>
                <c:formatCode>General</c:formatCode>
                <c:ptCount val="23"/>
                <c:pt idx="0">
                  <c:v>0.38</c:v>
                </c:pt>
                <c:pt idx="1">
                  <c:v>0.39300000000000002</c:v>
                </c:pt>
                <c:pt idx="2">
                  <c:v>0.41799999999999998</c:v>
                </c:pt>
                <c:pt idx="3">
                  <c:v>0.434</c:v>
                </c:pt>
                <c:pt idx="4">
                  <c:v>0.39900000000000002</c:v>
                </c:pt>
                <c:pt idx="5">
                  <c:v>0.36499999999999999</c:v>
                </c:pt>
                <c:pt idx="6">
                  <c:v>0.41699999999999998</c:v>
                </c:pt>
                <c:pt idx="7">
                  <c:v>0.39</c:v>
                </c:pt>
                <c:pt idx="8">
                  <c:v>0.39800000000000002</c:v>
                </c:pt>
                <c:pt idx="9">
                  <c:v>0.41</c:v>
                </c:pt>
                <c:pt idx="10">
                  <c:v>0.40899999999999997</c:v>
                </c:pt>
                <c:pt idx="11">
                  <c:v>0.41599999999999998</c:v>
                </c:pt>
                <c:pt idx="12">
                  <c:v>0.36599999999999999</c:v>
                </c:pt>
                <c:pt idx="13">
                  <c:v>0.35499999999999998</c:v>
                </c:pt>
                <c:pt idx="14">
                  <c:v>0.36599999999999999</c:v>
                </c:pt>
                <c:pt idx="15">
                  <c:v>0.36899999999999999</c:v>
                </c:pt>
                <c:pt idx="16">
                  <c:v>0.34</c:v>
                </c:pt>
                <c:pt idx="17">
                  <c:v>0.35299999999999998</c:v>
                </c:pt>
                <c:pt idx="18">
                  <c:v>0.36399999999999999</c:v>
                </c:pt>
                <c:pt idx="19">
                  <c:v>0.38900000000000001</c:v>
                </c:pt>
                <c:pt idx="20">
                  <c:v>0.39500000000000002</c:v>
                </c:pt>
                <c:pt idx="21">
                  <c:v>0.38</c:v>
                </c:pt>
                <c:pt idx="22">
                  <c:v>0.376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0-43E3-8F60-1F3A71800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30416"/>
        <c:axId val="817530832"/>
      </c:scatterChart>
      <c:valAx>
        <c:axId val="8175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30832"/>
        <c:crosses val="autoZero"/>
        <c:crossBetween val="midCat"/>
      </c:valAx>
      <c:valAx>
        <c:axId val="8175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3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Sheet9!$E$2:$E$24</c:f>
              <c:numCache>
                <c:formatCode>General</c:formatCode>
                <c:ptCount val="23"/>
                <c:pt idx="0">
                  <c:v>68</c:v>
                </c:pt>
                <c:pt idx="1">
                  <c:v>113</c:v>
                </c:pt>
                <c:pt idx="2">
                  <c:v>104</c:v>
                </c:pt>
                <c:pt idx="3">
                  <c:v>124</c:v>
                </c:pt>
                <c:pt idx="4">
                  <c:v>100</c:v>
                </c:pt>
                <c:pt idx="5">
                  <c:v>88</c:v>
                </c:pt>
                <c:pt idx="6">
                  <c:v>85</c:v>
                </c:pt>
                <c:pt idx="7">
                  <c:v>93</c:v>
                </c:pt>
                <c:pt idx="8">
                  <c:v>92</c:v>
                </c:pt>
                <c:pt idx="9">
                  <c:v>85</c:v>
                </c:pt>
                <c:pt idx="10">
                  <c:v>62</c:v>
                </c:pt>
                <c:pt idx="11">
                  <c:v>79</c:v>
                </c:pt>
                <c:pt idx="12">
                  <c:v>66</c:v>
                </c:pt>
                <c:pt idx="13">
                  <c:v>67</c:v>
                </c:pt>
                <c:pt idx="14">
                  <c:v>67</c:v>
                </c:pt>
                <c:pt idx="15">
                  <c:v>76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104</c:v>
                </c:pt>
                <c:pt idx="20">
                  <c:v>90</c:v>
                </c:pt>
                <c:pt idx="21">
                  <c:v>83</c:v>
                </c:pt>
                <c:pt idx="22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C-4152-8A02-8FC6EE84D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28896"/>
        <c:axId val="721029728"/>
      </c:scatterChart>
      <c:valAx>
        <c:axId val="7210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9728"/>
        <c:crosses val="autoZero"/>
        <c:crossBetween val="midCat"/>
      </c:valAx>
      <c:valAx>
        <c:axId val="7210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Sheet9!$F$2:$F$24</c:f>
              <c:numCache>
                <c:formatCode>General</c:formatCode>
                <c:ptCount val="23"/>
                <c:pt idx="0">
                  <c:v>0.40100000000000002</c:v>
                </c:pt>
                <c:pt idx="1">
                  <c:v>0.45300000000000001</c:v>
                </c:pt>
                <c:pt idx="2">
                  <c:v>0.42499999999999999</c:v>
                </c:pt>
                <c:pt idx="3">
                  <c:v>0.46300000000000002</c:v>
                </c:pt>
                <c:pt idx="4">
                  <c:v>0.46300000000000002</c:v>
                </c:pt>
                <c:pt idx="5">
                  <c:v>0.42299999999999999</c:v>
                </c:pt>
                <c:pt idx="6">
                  <c:v>0.45600000000000002</c:v>
                </c:pt>
                <c:pt idx="7">
                  <c:v>0.45900000000000002</c:v>
                </c:pt>
                <c:pt idx="8">
                  <c:v>0.437</c:v>
                </c:pt>
                <c:pt idx="9">
                  <c:v>0.42899999999999999</c:v>
                </c:pt>
                <c:pt idx="10">
                  <c:v>0.40500000000000003</c:v>
                </c:pt>
                <c:pt idx="11">
                  <c:v>0.43</c:v>
                </c:pt>
                <c:pt idx="12">
                  <c:v>0.40400000000000003</c:v>
                </c:pt>
                <c:pt idx="13">
                  <c:v>0.40600000000000003</c:v>
                </c:pt>
                <c:pt idx="14">
                  <c:v>0.40600000000000003</c:v>
                </c:pt>
                <c:pt idx="15">
                  <c:v>0.44</c:v>
                </c:pt>
                <c:pt idx="16">
                  <c:v>0.40300000000000002</c:v>
                </c:pt>
                <c:pt idx="17">
                  <c:v>0.39100000000000001</c:v>
                </c:pt>
                <c:pt idx="18">
                  <c:v>0.39800000000000002</c:v>
                </c:pt>
                <c:pt idx="19">
                  <c:v>0.43</c:v>
                </c:pt>
                <c:pt idx="20">
                  <c:v>0.42399999999999999</c:v>
                </c:pt>
                <c:pt idx="21">
                  <c:v>0.38200000000000001</c:v>
                </c:pt>
                <c:pt idx="22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6-4F02-895C-20589086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86560"/>
        <c:axId val="685984480"/>
      </c:scatterChart>
      <c:valAx>
        <c:axId val="6859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84480"/>
        <c:crosses val="autoZero"/>
        <c:crossBetween val="midCat"/>
      </c:valAx>
      <c:valAx>
        <c:axId val="6859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Sheet9!$G$2:$G$24</c:f>
              <c:numCache>
                <c:formatCode>General</c:formatCode>
                <c:ptCount val="23"/>
                <c:pt idx="0">
                  <c:v>47.222222222222221</c:v>
                </c:pt>
                <c:pt idx="1">
                  <c:v>50.672645739910315</c:v>
                </c:pt>
                <c:pt idx="2">
                  <c:v>53.608247422680414</c:v>
                </c:pt>
                <c:pt idx="3">
                  <c:v>52.765957446808507</c:v>
                </c:pt>
                <c:pt idx="4">
                  <c:v>50.251256281407031</c:v>
                </c:pt>
                <c:pt idx="5">
                  <c:v>50.285714285714292</c:v>
                </c:pt>
                <c:pt idx="6">
                  <c:v>43.367346938775512</c:v>
                </c:pt>
                <c:pt idx="7">
                  <c:v>43.457943925233643</c:v>
                </c:pt>
                <c:pt idx="8">
                  <c:v>54.117647058823529</c:v>
                </c:pt>
                <c:pt idx="9">
                  <c:v>46.195652173913047</c:v>
                </c:pt>
                <c:pt idx="10">
                  <c:v>43.971631205673759</c:v>
                </c:pt>
                <c:pt idx="11">
                  <c:v>45.402298850574709</c:v>
                </c:pt>
                <c:pt idx="12">
                  <c:v>41.25</c:v>
                </c:pt>
                <c:pt idx="13">
                  <c:v>44.666666666666664</c:v>
                </c:pt>
                <c:pt idx="14">
                  <c:v>41.358024691358025</c:v>
                </c:pt>
                <c:pt idx="15">
                  <c:v>47.79874213836478</c:v>
                </c:pt>
                <c:pt idx="16">
                  <c:v>46.400000000000006</c:v>
                </c:pt>
                <c:pt idx="17">
                  <c:v>57.142857142857139</c:v>
                </c:pt>
                <c:pt idx="18">
                  <c:v>43.79562043795621</c:v>
                </c:pt>
                <c:pt idx="19">
                  <c:v>46.222222222222221</c:v>
                </c:pt>
                <c:pt idx="20">
                  <c:v>45.91836734693878</c:v>
                </c:pt>
                <c:pt idx="21">
                  <c:v>40.487804878048784</c:v>
                </c:pt>
                <c:pt idx="22">
                  <c:v>42.38095238095238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4-4E6D-BD34-1B97308E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342032"/>
        <c:axId val="940340784"/>
      </c:scatterChart>
      <c:valAx>
        <c:axId val="9403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340784"/>
        <c:crosses val="autoZero"/>
        <c:crossBetween val="midCat"/>
      </c:valAx>
      <c:valAx>
        <c:axId val="9403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3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Sheet9!$H$2:$H$24</c:f>
              <c:numCache>
                <c:formatCode>General</c:formatCode>
                <c:ptCount val="23"/>
                <c:pt idx="0">
                  <c:v>50.072568940493468</c:v>
                </c:pt>
                <c:pt idx="1">
                  <c:v>53.333333333333336</c:v>
                </c:pt>
                <c:pt idx="2">
                  <c:v>47.342398022249697</c:v>
                </c:pt>
                <c:pt idx="3">
                  <c:v>52.32974910394266</c:v>
                </c:pt>
                <c:pt idx="4">
                  <c:v>54.422604422604422</c:v>
                </c:pt>
                <c:pt idx="5">
                  <c:v>49.555273189326556</c:v>
                </c:pt>
                <c:pt idx="6">
                  <c:v>49.543378995433791</c:v>
                </c:pt>
                <c:pt idx="7">
                  <c:v>48.421052631578945</c:v>
                </c:pt>
                <c:pt idx="8">
                  <c:v>50.683229813664596</c:v>
                </c:pt>
                <c:pt idx="9">
                  <c:v>51.088348271446861</c:v>
                </c:pt>
                <c:pt idx="10">
                  <c:v>50.344827586206897</c:v>
                </c:pt>
                <c:pt idx="11">
                  <c:v>48.138639281129656</c:v>
                </c:pt>
                <c:pt idx="12">
                  <c:v>46.712328767123289</c:v>
                </c:pt>
                <c:pt idx="13">
                  <c:v>52.445652173913047</c:v>
                </c:pt>
                <c:pt idx="14">
                  <c:v>45.931758530183728</c:v>
                </c:pt>
                <c:pt idx="15">
                  <c:v>52.810457516339874</c:v>
                </c:pt>
                <c:pt idx="16">
                  <c:v>48.275862068965516</c:v>
                </c:pt>
                <c:pt idx="17">
                  <c:v>53.634894991922458</c:v>
                </c:pt>
                <c:pt idx="18">
                  <c:v>48.68624420401855</c:v>
                </c:pt>
                <c:pt idx="19">
                  <c:v>45.571245186136075</c:v>
                </c:pt>
                <c:pt idx="20">
                  <c:v>47.174770039421816</c:v>
                </c:pt>
                <c:pt idx="21">
                  <c:v>46.245059288537547</c:v>
                </c:pt>
                <c:pt idx="22">
                  <c:v>50.785340314136128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1-4749-B846-2B7E3B36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3504"/>
        <c:axId val="943650592"/>
      </c:scatterChart>
      <c:valAx>
        <c:axId val="9436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0592"/>
        <c:crosses val="autoZero"/>
        <c:crossBetween val="midCat"/>
      </c:valAx>
      <c:valAx>
        <c:axId val="9436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51.94805194805194</c:v>
                </c:pt>
                <c:pt idx="1">
                  <c:v>50.612244897959179</c:v>
                </c:pt>
                <c:pt idx="2">
                  <c:v>49.930843706777317</c:v>
                </c:pt>
                <c:pt idx="3">
                  <c:v>51.544943820224717</c:v>
                </c:pt>
                <c:pt idx="4">
                  <c:v>51.944012441679632</c:v>
                </c:pt>
                <c:pt idx="5">
                  <c:v>48.608837970540094</c:v>
                </c:pt>
                <c:pt idx="6">
                  <c:v>52.845528455284551</c:v>
                </c:pt>
                <c:pt idx="7">
                  <c:v>53.344768439108059</c:v>
                </c:pt>
                <c:pt idx="8">
                  <c:v>48.852459016393439</c:v>
                </c:pt>
                <c:pt idx="9">
                  <c:v>50.556438791732901</c:v>
                </c:pt>
                <c:pt idx="10">
                  <c:v>50.342935528120712</c:v>
                </c:pt>
                <c:pt idx="11">
                  <c:v>46.132596685082873</c:v>
                </c:pt>
                <c:pt idx="12">
                  <c:v>44.084821428571431</c:v>
                </c:pt>
                <c:pt idx="13">
                  <c:v>46.800501882057716</c:v>
                </c:pt>
                <c:pt idx="14">
                  <c:v>53.152173913043477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6-497D-AB9A-845C3282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68160"/>
        <c:axId val="677564000"/>
      </c:scatterChart>
      <c:valAx>
        <c:axId val="6775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4000"/>
        <c:crosses val="autoZero"/>
        <c:crossBetween val="midCat"/>
      </c:valAx>
      <c:valAx>
        <c:axId val="6775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Sheet2!$C$2:$C$15</c:f>
              <c:numCache>
                <c:formatCode>General</c:formatCode>
                <c:ptCount val="14"/>
                <c:pt idx="0">
                  <c:v>4.07</c:v>
                </c:pt>
                <c:pt idx="1">
                  <c:v>4.8</c:v>
                </c:pt>
                <c:pt idx="2">
                  <c:v>4.3099999999999996</c:v>
                </c:pt>
                <c:pt idx="3">
                  <c:v>4.51</c:v>
                </c:pt>
                <c:pt idx="4">
                  <c:v>3.9</c:v>
                </c:pt>
                <c:pt idx="5">
                  <c:v>3.71</c:v>
                </c:pt>
                <c:pt idx="6">
                  <c:v>4.05</c:v>
                </c:pt>
                <c:pt idx="7">
                  <c:v>3.56</c:v>
                </c:pt>
                <c:pt idx="8">
                  <c:v>3.39</c:v>
                </c:pt>
                <c:pt idx="9">
                  <c:v>3.73</c:v>
                </c:pt>
                <c:pt idx="10">
                  <c:v>3.53</c:v>
                </c:pt>
                <c:pt idx="11">
                  <c:v>4.01</c:v>
                </c:pt>
                <c:pt idx="12">
                  <c:v>3.56</c:v>
                </c:pt>
                <c:pt idx="13">
                  <c:v>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7EE-8192-308BFA73C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98400"/>
        <c:axId val="578396320"/>
      </c:scatterChart>
      <c:valAx>
        <c:axId val="5783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6320"/>
        <c:crosses val="autoZero"/>
        <c:crossBetween val="midCat"/>
      </c:valAx>
      <c:valAx>
        <c:axId val="578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1013779527559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Opponent 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Sheet2!$D$2:$D$15</c:f>
              <c:numCache>
                <c:formatCode>General</c:formatCode>
                <c:ptCount val="14"/>
                <c:pt idx="0">
                  <c:v>0.41499999999999998</c:v>
                </c:pt>
                <c:pt idx="1">
                  <c:v>0.43099999999999999</c:v>
                </c:pt>
                <c:pt idx="2">
                  <c:v>0.4</c:v>
                </c:pt>
                <c:pt idx="3">
                  <c:v>0.40899999999999997</c:v>
                </c:pt>
                <c:pt idx="4">
                  <c:v>0.38500000000000001</c:v>
                </c:pt>
                <c:pt idx="5">
                  <c:v>0.39</c:v>
                </c:pt>
                <c:pt idx="6">
                  <c:v>0.38100000000000001</c:v>
                </c:pt>
                <c:pt idx="7">
                  <c:v>0.375</c:v>
                </c:pt>
                <c:pt idx="8">
                  <c:v>0.36799999999999999</c:v>
                </c:pt>
                <c:pt idx="9">
                  <c:v>0.374</c:v>
                </c:pt>
                <c:pt idx="10">
                  <c:v>0.36399999999999999</c:v>
                </c:pt>
                <c:pt idx="11">
                  <c:v>0.38900000000000001</c:v>
                </c:pt>
                <c:pt idx="12">
                  <c:v>0.373</c:v>
                </c:pt>
                <c:pt idx="13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8-4790-9229-28FF63ED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53600"/>
        <c:axId val="675764000"/>
      </c:scatterChart>
      <c:valAx>
        <c:axId val="6757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64000"/>
        <c:crosses val="autoZero"/>
        <c:crossBetween val="midCat"/>
      </c:valAx>
      <c:valAx>
        <c:axId val="67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5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Sheet2!$E$2:$E$15</c:f>
              <c:numCache>
                <c:formatCode>General</c:formatCode>
                <c:ptCount val="14"/>
                <c:pt idx="0">
                  <c:v>84</c:v>
                </c:pt>
                <c:pt idx="1">
                  <c:v>110</c:v>
                </c:pt>
                <c:pt idx="2">
                  <c:v>94</c:v>
                </c:pt>
                <c:pt idx="3">
                  <c:v>86</c:v>
                </c:pt>
                <c:pt idx="4">
                  <c:v>69</c:v>
                </c:pt>
                <c:pt idx="5">
                  <c:v>72</c:v>
                </c:pt>
                <c:pt idx="6">
                  <c:v>55</c:v>
                </c:pt>
                <c:pt idx="7">
                  <c:v>36</c:v>
                </c:pt>
                <c:pt idx="8">
                  <c:v>59</c:v>
                </c:pt>
                <c:pt idx="9">
                  <c:v>53</c:v>
                </c:pt>
                <c:pt idx="10">
                  <c:v>58</c:v>
                </c:pt>
                <c:pt idx="11">
                  <c:v>95</c:v>
                </c:pt>
                <c:pt idx="12">
                  <c:v>53</c:v>
                </c:pt>
                <c:pt idx="1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7-467C-BA84-07F23A57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12416"/>
        <c:axId val="716602016"/>
      </c:scatterChart>
      <c:valAx>
        <c:axId val="716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2016"/>
        <c:crosses val="autoZero"/>
        <c:crossBetween val="midCat"/>
      </c:valAx>
      <c:valAx>
        <c:axId val="7166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66675</xdr:rowOff>
    </xdr:from>
    <xdr:to>
      <xdr:col>4</xdr:col>
      <xdr:colOff>400050</xdr:colOff>
      <xdr:row>31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E7C197-E309-452B-A3E4-A2926F09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630766</xdr:colOff>
      <xdr:row>16</xdr:row>
      <xdr:rowOff>131232</xdr:rowOff>
    </xdr:from>
    <xdr:to>
      <xdr:col>9</xdr:col>
      <xdr:colOff>55033</xdr:colOff>
      <xdr:row>31</xdr:row>
      <xdr:rowOff>80432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69B2C-9F0D-4798-B227-F9AA8AE3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334433</xdr:colOff>
      <xdr:row>16</xdr:row>
      <xdr:rowOff>165099</xdr:rowOff>
    </xdr:from>
    <xdr:to>
      <xdr:col>17</xdr:col>
      <xdr:colOff>29633</xdr:colOff>
      <xdr:row>31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1A2B89-960F-4883-BED8-0C460DFF2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131232</xdr:rowOff>
    </xdr:from>
    <xdr:to>
      <xdr:col>4</xdr:col>
      <xdr:colOff>397933</xdr:colOff>
      <xdr:row>46</xdr:row>
      <xdr:rowOff>80432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94F5B3-314B-4F9B-A19D-520ACF293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622300</xdr:colOff>
      <xdr:row>32</xdr:row>
      <xdr:rowOff>55034</xdr:rowOff>
    </xdr:from>
    <xdr:to>
      <xdr:col>9</xdr:col>
      <xdr:colOff>46567</xdr:colOff>
      <xdr:row>47</xdr:row>
      <xdr:rowOff>4234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BB145-C2F2-4A3B-A9CF-F3861D33D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32</xdr:row>
      <xdr:rowOff>71967</xdr:rowOff>
    </xdr:from>
    <xdr:to>
      <xdr:col>17</xdr:col>
      <xdr:colOff>38100</xdr:colOff>
      <xdr:row>47</xdr:row>
      <xdr:rowOff>21167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A48DA0-D02E-4895-8E47-2BE587B7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249359</xdr:colOff>
      <xdr:row>16</xdr:row>
      <xdr:rowOff>10990</xdr:rowOff>
    </xdr:from>
    <xdr:to>
      <xdr:col>4</xdr:col>
      <xdr:colOff>839909</xdr:colOff>
      <xdr:row>30</xdr:row>
      <xdr:rowOff>177555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E9AAD-DAE4-4088-BE23-F6B80DB8B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1151548</xdr:colOff>
      <xdr:row>16</xdr:row>
      <xdr:rowOff>23202</xdr:rowOff>
    </xdr:from>
    <xdr:to>
      <xdr:col>9</xdr:col>
      <xdr:colOff>571256</xdr:colOff>
      <xdr:row>31</xdr:row>
      <xdr:rowOff>4152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4469A-D5BA-4B9C-A1E9-464F06F67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239345</xdr:colOff>
      <xdr:row>16</xdr:row>
      <xdr:rowOff>20515</xdr:rowOff>
    </xdr:from>
    <xdr:to>
      <xdr:col>17</xdr:col>
      <xdr:colOff>571499</xdr:colOff>
      <xdr:row>30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932FA3-9FDA-4C97-8605-3A438B16E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278423</xdr:colOff>
      <xdr:row>31</xdr:row>
      <xdr:rowOff>108439</xdr:rowOff>
    </xdr:from>
    <xdr:to>
      <xdr:col>4</xdr:col>
      <xdr:colOff>874346</xdr:colOff>
      <xdr:row>46</xdr:row>
      <xdr:rowOff>67408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0CCAE-9238-4FF6-89FF-8E18F4A33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1147884</xdr:colOff>
      <xdr:row>31</xdr:row>
      <xdr:rowOff>137746</xdr:rowOff>
    </xdr:from>
    <xdr:to>
      <xdr:col>9</xdr:col>
      <xdr:colOff>581269</xdr:colOff>
      <xdr:row>46</xdr:row>
      <xdr:rowOff>96715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6CC036-E98F-463E-AA14-BDA3C8B3B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200269</xdr:colOff>
      <xdr:row>31</xdr:row>
      <xdr:rowOff>127977</xdr:rowOff>
    </xdr:from>
    <xdr:to>
      <xdr:col>17</xdr:col>
      <xdr:colOff>532423</xdr:colOff>
      <xdr:row>46</xdr:row>
      <xdr:rowOff>86946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E17368-639E-4FC8-9A9D-695A818A9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19</xdr:row>
      <xdr:rowOff>9525</xdr:rowOff>
    </xdr:from>
    <xdr:to>
      <xdr:col>4</xdr:col>
      <xdr:colOff>492125</xdr:colOff>
      <xdr:row>33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1C74A-BF90-4DF2-8ACE-327D1E69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704188</xdr:colOff>
      <xdr:row>19</xdr:row>
      <xdr:rowOff>40564</xdr:rowOff>
    </xdr:from>
    <xdr:to>
      <xdr:col>9</xdr:col>
      <xdr:colOff>139322</xdr:colOff>
      <xdr:row>34</xdr:row>
      <xdr:rowOff>82645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6D06BD-4227-4D00-8277-BB2A65AC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353515</xdr:colOff>
      <xdr:row>19</xdr:row>
      <xdr:rowOff>40564</xdr:rowOff>
    </xdr:from>
    <xdr:to>
      <xdr:col>17</xdr:col>
      <xdr:colOff>72978</xdr:colOff>
      <xdr:row>34</xdr:row>
      <xdr:rowOff>82645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033138-D08B-4F5F-AC6B-F2CD4BD7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69187</xdr:colOff>
      <xdr:row>34</xdr:row>
      <xdr:rowOff>116385</xdr:rowOff>
    </xdr:from>
    <xdr:to>
      <xdr:col>4</xdr:col>
      <xdr:colOff>499471</xdr:colOff>
      <xdr:row>49</xdr:row>
      <xdr:rowOff>158465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0CF07E-2458-4CEC-9CD6-9733196DD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751575</xdr:colOff>
      <xdr:row>35</xdr:row>
      <xdr:rowOff>40564</xdr:rowOff>
    </xdr:from>
    <xdr:to>
      <xdr:col>9</xdr:col>
      <xdr:colOff>186709</xdr:colOff>
      <xdr:row>50</xdr:row>
      <xdr:rowOff>82645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147420-2787-41B1-B4CE-776071016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457769</xdr:colOff>
      <xdr:row>35</xdr:row>
      <xdr:rowOff>78474</xdr:rowOff>
    </xdr:from>
    <xdr:to>
      <xdr:col>17</xdr:col>
      <xdr:colOff>177232</xdr:colOff>
      <xdr:row>50</xdr:row>
      <xdr:rowOff>120555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34E3A1-3513-4D57-91CB-6B7113C67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19</xdr:row>
      <xdr:rowOff>15875</xdr:rowOff>
    </xdr:from>
    <xdr:to>
      <xdr:col>4</xdr:col>
      <xdr:colOff>504825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CA0D0-3160-4E4C-A75C-5A1EC8296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732620</xdr:colOff>
      <xdr:row>19</xdr:row>
      <xdr:rowOff>50041</xdr:rowOff>
    </xdr:from>
    <xdr:to>
      <xdr:col>9</xdr:col>
      <xdr:colOff>167754</xdr:colOff>
      <xdr:row>34</xdr:row>
      <xdr:rowOff>92122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3C9062-6049-4139-A7E2-C39779ED8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486202</xdr:colOff>
      <xdr:row>19</xdr:row>
      <xdr:rowOff>50042</xdr:rowOff>
    </xdr:from>
    <xdr:to>
      <xdr:col>17</xdr:col>
      <xdr:colOff>205665</xdr:colOff>
      <xdr:row>34</xdr:row>
      <xdr:rowOff>92123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6FE4E0-61BC-4BB3-94D7-82B4F28E7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31276</xdr:colOff>
      <xdr:row>34</xdr:row>
      <xdr:rowOff>144818</xdr:rowOff>
    </xdr:from>
    <xdr:to>
      <xdr:col>4</xdr:col>
      <xdr:colOff>499470</xdr:colOff>
      <xdr:row>50</xdr:row>
      <xdr:rowOff>6824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C59D27-42F5-4A36-AA39-FE391726F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723142</xdr:colOff>
      <xdr:row>34</xdr:row>
      <xdr:rowOff>154296</xdr:rowOff>
    </xdr:from>
    <xdr:to>
      <xdr:col>9</xdr:col>
      <xdr:colOff>158276</xdr:colOff>
      <xdr:row>50</xdr:row>
      <xdr:rowOff>16302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F3D340-FF51-470D-A764-A8FBD8BA8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524112</xdr:colOff>
      <xdr:row>34</xdr:row>
      <xdr:rowOff>154295</xdr:rowOff>
    </xdr:from>
    <xdr:to>
      <xdr:col>17</xdr:col>
      <xdr:colOff>243575</xdr:colOff>
      <xdr:row>50</xdr:row>
      <xdr:rowOff>16301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AEAADD-AFC0-4043-977E-9E56D2A2F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111311</xdr:rowOff>
    </xdr:from>
    <xdr:to>
      <xdr:col>4</xdr:col>
      <xdr:colOff>410882</xdr:colOff>
      <xdr:row>32</xdr:row>
      <xdr:rowOff>53040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1A377-B709-4BA8-A171-D3CB1C051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627530</xdr:colOff>
      <xdr:row>17</xdr:row>
      <xdr:rowOff>148664</xdr:rowOff>
    </xdr:from>
    <xdr:to>
      <xdr:col>9</xdr:col>
      <xdr:colOff>52295</xdr:colOff>
      <xdr:row>32</xdr:row>
      <xdr:rowOff>90393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33AEB7-638A-4079-A804-EA5F58DF5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112059</xdr:colOff>
      <xdr:row>17</xdr:row>
      <xdr:rowOff>163606</xdr:rowOff>
    </xdr:from>
    <xdr:to>
      <xdr:col>16</xdr:col>
      <xdr:colOff>395941</xdr:colOff>
      <xdr:row>32</xdr:row>
      <xdr:rowOff>105335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AD054F-82E2-4873-A262-3C64853F5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111312</xdr:rowOff>
    </xdr:from>
    <xdr:to>
      <xdr:col>4</xdr:col>
      <xdr:colOff>410882</xdr:colOff>
      <xdr:row>47</xdr:row>
      <xdr:rowOff>53042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83DDDC-EDEA-49AC-A8E6-700B71501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687294</xdr:colOff>
      <xdr:row>33</xdr:row>
      <xdr:rowOff>29135</xdr:rowOff>
    </xdr:from>
    <xdr:to>
      <xdr:col>9</xdr:col>
      <xdr:colOff>112059</xdr:colOff>
      <xdr:row>47</xdr:row>
      <xdr:rowOff>157629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4499A0-8DC7-4C46-A09A-11299B394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216647</xdr:colOff>
      <xdr:row>33</xdr:row>
      <xdr:rowOff>59018</xdr:rowOff>
    </xdr:from>
    <xdr:to>
      <xdr:col>16</xdr:col>
      <xdr:colOff>500529</xdr:colOff>
      <xdr:row>48</xdr:row>
      <xdr:rowOff>747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ABD429-A9E6-4CE4-8036-961A3EEBA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22225</xdr:rowOff>
    </xdr:from>
    <xdr:to>
      <xdr:col>4</xdr:col>
      <xdr:colOff>361950</xdr:colOff>
      <xdr:row>37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85B1B-95E7-43AC-822B-194859E29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511175</xdr:colOff>
      <xdr:row>21</xdr:row>
      <xdr:rowOff>180975</xdr:rowOff>
    </xdr:from>
    <xdr:to>
      <xdr:col>8</xdr:col>
      <xdr:colOff>555625</xdr:colOff>
      <xdr:row>36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16D712-52F7-44E1-99CF-EF7B8863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53975</xdr:colOff>
      <xdr:row>22</xdr:row>
      <xdr:rowOff>3175</xdr:rowOff>
    </xdr:from>
    <xdr:to>
      <xdr:col>16</xdr:col>
      <xdr:colOff>358775</xdr:colOff>
      <xdr:row>36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0CFCD-71AF-4E68-B3DC-2C09320E5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15875</xdr:colOff>
      <xdr:row>37</xdr:row>
      <xdr:rowOff>98425</xdr:rowOff>
    </xdr:from>
    <xdr:to>
      <xdr:col>4</xdr:col>
      <xdr:colOff>377825</xdr:colOff>
      <xdr:row>52</xdr:row>
      <xdr:rowOff>79375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A8AF2F-E445-43D0-AB38-6D878462C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523875</xdr:colOff>
      <xdr:row>37</xdr:row>
      <xdr:rowOff>130175</xdr:rowOff>
    </xdr:from>
    <xdr:to>
      <xdr:col>8</xdr:col>
      <xdr:colOff>568325</xdr:colOff>
      <xdr:row>52</xdr:row>
      <xdr:rowOff>111125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D9C2B4-C6FD-40B6-B4DD-89E902EFD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95249</xdr:colOff>
      <xdr:row>37</xdr:row>
      <xdr:rowOff>140935</xdr:rowOff>
    </xdr:from>
    <xdr:to>
      <xdr:col>16</xdr:col>
      <xdr:colOff>407457</xdr:colOff>
      <xdr:row>52</xdr:row>
      <xdr:rowOff>106010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C3B888-13CB-4E77-A942-78D42033D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125488</xdr:colOff>
      <xdr:row>21</xdr:row>
      <xdr:rowOff>136525</xdr:rowOff>
    </xdr:from>
    <xdr:to>
      <xdr:col>4</xdr:col>
      <xdr:colOff>630464</xdr:colOff>
      <xdr:row>36</xdr:row>
      <xdr:rowOff>158296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C229C-CC0B-4808-A0EE-5B7474F50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775607</xdr:colOff>
      <xdr:row>21</xdr:row>
      <xdr:rowOff>144085</xdr:rowOff>
    </xdr:from>
    <xdr:to>
      <xdr:col>9</xdr:col>
      <xdr:colOff>207131</xdr:colOff>
      <xdr:row>36</xdr:row>
      <xdr:rowOff>165856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F4CEA-393A-4317-BE06-783B8DC9B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299357</xdr:colOff>
      <xdr:row>21</xdr:row>
      <xdr:rowOff>136525</xdr:rowOff>
    </xdr:from>
    <xdr:to>
      <xdr:col>16</xdr:col>
      <xdr:colOff>585107</xdr:colOff>
      <xdr:row>36</xdr:row>
      <xdr:rowOff>158296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E8B3BD-78D2-4CCD-9883-25880EEEE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90077</xdr:colOff>
      <xdr:row>37</xdr:row>
      <xdr:rowOff>64909</xdr:rowOff>
    </xdr:from>
    <xdr:to>
      <xdr:col>4</xdr:col>
      <xdr:colOff>591076</xdr:colOff>
      <xdr:row>52</xdr:row>
      <xdr:rowOff>86681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EA6BA-B9E4-45D7-A275-A2BE05F42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816588</xdr:colOff>
      <xdr:row>37</xdr:row>
      <xdr:rowOff>160199</xdr:rowOff>
    </xdr:from>
    <xdr:to>
      <xdr:col>9</xdr:col>
      <xdr:colOff>241745</xdr:colOff>
      <xdr:row>52</xdr:row>
      <xdr:rowOff>62610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C54EAA-8782-4C30-BDCF-B44352ECE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382114</xdr:colOff>
      <xdr:row>37</xdr:row>
      <xdr:rowOff>115637</xdr:rowOff>
    </xdr:from>
    <xdr:to>
      <xdr:col>17</xdr:col>
      <xdr:colOff>52360</xdr:colOff>
      <xdr:row>52</xdr:row>
      <xdr:rowOff>18048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8A1DC5-5CB5-4E74-AF01-03009F081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22303</xdr:rowOff>
    </xdr:from>
    <xdr:to>
      <xdr:col>4</xdr:col>
      <xdr:colOff>103768</xdr:colOff>
      <xdr:row>31</xdr:row>
      <xdr:rowOff>163552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FBFDC-986F-4101-958B-5DCD7597B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312079</xdr:colOff>
      <xdr:row>17</xdr:row>
      <xdr:rowOff>14559</xdr:rowOff>
    </xdr:from>
    <xdr:to>
      <xdr:col>8</xdr:col>
      <xdr:colOff>361640</xdr:colOff>
      <xdr:row>31</xdr:row>
      <xdr:rowOff>155808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D9A86-61E7-4EB7-BB87-20C985150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590860</xdr:colOff>
      <xdr:row>16</xdr:row>
      <xdr:rowOff>177181</xdr:rowOff>
    </xdr:from>
    <xdr:to>
      <xdr:col>16</xdr:col>
      <xdr:colOff>268714</xdr:colOff>
      <xdr:row>31</xdr:row>
      <xdr:rowOff>132577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2D00C-0B45-4A75-818D-0A04AA5F0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25555</xdr:colOff>
      <xdr:row>32</xdr:row>
      <xdr:rowOff>45534</xdr:rowOff>
    </xdr:from>
    <xdr:to>
      <xdr:col>4</xdr:col>
      <xdr:colOff>129323</xdr:colOff>
      <xdr:row>47</xdr:row>
      <xdr:rowOff>929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81141-D68C-4455-A84E-3007B47CF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304336</xdr:colOff>
      <xdr:row>32</xdr:row>
      <xdr:rowOff>30046</xdr:rowOff>
    </xdr:from>
    <xdr:to>
      <xdr:col>8</xdr:col>
      <xdr:colOff>353897</xdr:colOff>
      <xdr:row>46</xdr:row>
      <xdr:rowOff>171295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BEF8A0-ABEF-4120-8592-E40FD11A9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528908</xdr:colOff>
      <xdr:row>32</xdr:row>
      <xdr:rowOff>68766</xdr:rowOff>
    </xdr:from>
    <xdr:to>
      <xdr:col>16</xdr:col>
      <xdr:colOff>206762</xdr:colOff>
      <xdr:row>47</xdr:row>
      <xdr:rowOff>24161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7581C1-E05A-49C6-BEE1-C615634C7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72022</xdr:colOff>
      <xdr:row>24</xdr:row>
      <xdr:rowOff>74696</xdr:rowOff>
    </xdr:from>
    <xdr:to>
      <xdr:col>4</xdr:col>
      <xdr:colOff>172620</xdr:colOff>
      <xdr:row>39</xdr:row>
      <xdr:rowOff>55646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E3133-DD1D-4EC9-AEFB-6805FD0B0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383507</xdr:colOff>
      <xdr:row>24</xdr:row>
      <xdr:rowOff>103104</xdr:rowOff>
    </xdr:from>
    <xdr:to>
      <xdr:col>8</xdr:col>
      <xdr:colOff>426954</xdr:colOff>
      <xdr:row>39</xdr:row>
      <xdr:rowOff>89067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A509D-7F31-4EB9-AE42-1779E4805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584033</xdr:colOff>
      <xdr:row>24</xdr:row>
      <xdr:rowOff>94748</xdr:rowOff>
    </xdr:from>
    <xdr:to>
      <xdr:col>16</xdr:col>
      <xdr:colOff>276560</xdr:colOff>
      <xdr:row>39</xdr:row>
      <xdr:rowOff>80711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C7F34-681E-482A-B9CD-922D717F6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66007</xdr:colOff>
      <xdr:row>40</xdr:row>
      <xdr:rowOff>36262</xdr:rowOff>
    </xdr:from>
    <xdr:to>
      <xdr:col>4</xdr:col>
      <xdr:colOff>159586</xdr:colOff>
      <xdr:row>55</xdr:row>
      <xdr:rowOff>22226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2513A5-7034-411F-BB49-5CBB67E71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333375</xdr:colOff>
      <xdr:row>40</xdr:row>
      <xdr:rowOff>61327</xdr:rowOff>
    </xdr:from>
    <xdr:to>
      <xdr:col>8</xdr:col>
      <xdr:colOff>376822</xdr:colOff>
      <xdr:row>55</xdr:row>
      <xdr:rowOff>47291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B9CF2E-10E6-4BCC-A644-F9E09C19E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558967</xdr:colOff>
      <xdr:row>40</xdr:row>
      <xdr:rowOff>52972</xdr:rowOff>
    </xdr:from>
    <xdr:to>
      <xdr:col>16</xdr:col>
      <xdr:colOff>251494</xdr:colOff>
      <xdr:row>55</xdr:row>
      <xdr:rowOff>38936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6E382E-B9B1-4869-A33E-4621719EA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5872-81C4-47AA-A965-640145705D07}">
  <dimension ref="A1:H16"/>
  <sheetViews>
    <sheetView zoomScale="75" workbookViewId="0">
      <selection activeCell="H1" activeCellId="1" sqref="B1:B1048576 H1:H1048576"/>
    </sheetView>
  </sheetViews>
  <sheetFormatPr defaultRowHeight="14.5" x14ac:dyDescent="0.35"/>
  <cols>
    <col min="1" max="1" width="15.72656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3</v>
      </c>
      <c r="B2">
        <v>2005</v>
      </c>
      <c r="C2">
        <v>3.07</v>
      </c>
      <c r="D2">
        <v>0.38900000000000001</v>
      </c>
      <c r="E2">
        <v>93</v>
      </c>
      <c r="F2">
        <v>0.436</v>
      </c>
      <c r="G2">
        <f>(93/161)*100</f>
        <v>57.763975155279503</v>
      </c>
      <c r="H2">
        <f>(360/693)*100</f>
        <v>51.94805194805194</v>
      </c>
    </row>
    <row r="3" spans="1:8" x14ac:dyDescent="0.35">
      <c r="A3" s="1"/>
      <c r="B3">
        <v>2006</v>
      </c>
      <c r="C3">
        <v>4.03</v>
      </c>
      <c r="D3">
        <v>0.41899999999999998</v>
      </c>
      <c r="E3">
        <v>98</v>
      </c>
      <c r="F3">
        <v>0.43</v>
      </c>
      <c r="G3">
        <f>(98/174)*100</f>
        <v>56.321839080459768</v>
      </c>
      <c r="H3">
        <f>(372/735)*100</f>
        <v>50.612244897959179</v>
      </c>
    </row>
    <row r="4" spans="1:8" x14ac:dyDescent="0.35">
      <c r="A4" s="1"/>
      <c r="B4">
        <v>2007</v>
      </c>
      <c r="C4">
        <v>4.05</v>
      </c>
      <c r="D4">
        <v>0.439</v>
      </c>
      <c r="E4">
        <v>83</v>
      </c>
      <c r="F4">
        <v>0.42199999999999999</v>
      </c>
      <c r="G4">
        <f>(83/167)*100</f>
        <v>49.700598802395206</v>
      </c>
      <c r="H4">
        <f>(361/723)*100</f>
        <v>49.930843706777317</v>
      </c>
    </row>
    <row r="5" spans="1:8" x14ac:dyDescent="0.35">
      <c r="A5" s="1"/>
      <c r="B5">
        <v>2008</v>
      </c>
      <c r="C5">
        <v>4.25</v>
      </c>
      <c r="D5">
        <v>0.437</v>
      </c>
      <c r="E5">
        <v>92</v>
      </c>
      <c r="F5">
        <v>0.443</v>
      </c>
      <c r="G5">
        <f>(92/167)*100</f>
        <v>55.08982035928144</v>
      </c>
      <c r="H5">
        <f>(367/712)*100</f>
        <v>51.544943820224717</v>
      </c>
    </row>
    <row r="6" spans="1:8" x14ac:dyDescent="0.35">
      <c r="A6" s="1"/>
      <c r="B6">
        <v>2009</v>
      </c>
      <c r="C6">
        <v>4.01</v>
      </c>
      <c r="D6">
        <v>0.42399999999999999</v>
      </c>
      <c r="E6">
        <v>78</v>
      </c>
      <c r="F6">
        <v>0.41799999999999998</v>
      </c>
      <c r="G6">
        <f>(78/142)*100</f>
        <v>54.929577464788736</v>
      </c>
      <c r="H6">
        <f>(334/643)*100</f>
        <v>51.944012441679632</v>
      </c>
    </row>
    <row r="7" spans="1:8" x14ac:dyDescent="0.35">
      <c r="A7" s="1"/>
      <c r="B7">
        <v>2010</v>
      </c>
      <c r="C7">
        <v>3.51</v>
      </c>
      <c r="D7">
        <v>0.38</v>
      </c>
      <c r="E7">
        <v>63</v>
      </c>
      <c r="F7">
        <v>0.375</v>
      </c>
      <c r="G7">
        <f>(63/108)*100</f>
        <v>58.333333333333336</v>
      </c>
      <c r="H7">
        <f>(297/611)*100</f>
        <v>48.608837970540094</v>
      </c>
    </row>
    <row r="8" spans="1:8" x14ac:dyDescent="0.35">
      <c r="A8" s="1"/>
      <c r="B8">
        <v>2011</v>
      </c>
      <c r="C8">
        <v>4.5999999999999996</v>
      </c>
      <c r="D8">
        <v>0.44</v>
      </c>
      <c r="E8">
        <v>46</v>
      </c>
      <c r="F8">
        <v>0.38400000000000001</v>
      </c>
      <c r="G8">
        <f>(46/95)*100</f>
        <v>48.421052631578945</v>
      </c>
      <c r="H8">
        <f>(325/615)*100</f>
        <v>52.845528455284551</v>
      </c>
    </row>
    <row r="9" spans="1:8" x14ac:dyDescent="0.35">
      <c r="A9" s="1"/>
      <c r="B9">
        <v>2012</v>
      </c>
      <c r="C9">
        <v>3.79</v>
      </c>
      <c r="D9">
        <v>0.39600000000000002</v>
      </c>
      <c r="E9">
        <v>79</v>
      </c>
      <c r="F9">
        <v>0.38500000000000001</v>
      </c>
      <c r="G9">
        <f>(79/146)*100</f>
        <v>54.109589041095894</v>
      </c>
      <c r="H9">
        <f>(311/583)*100</f>
        <v>53.344768439108059</v>
      </c>
    </row>
    <row r="10" spans="1:8" x14ac:dyDescent="0.35">
      <c r="A10" s="1"/>
      <c r="B10">
        <v>2013</v>
      </c>
      <c r="C10">
        <v>4.9800000000000004</v>
      </c>
      <c r="D10">
        <v>0.44900000000000001</v>
      </c>
      <c r="E10">
        <v>81</v>
      </c>
      <c r="F10">
        <v>0.374</v>
      </c>
      <c r="G10">
        <f>(81/148)*100</f>
        <v>54.729729729729726</v>
      </c>
      <c r="H10">
        <f>(298/610)*100</f>
        <v>48.852459016393439</v>
      </c>
    </row>
    <row r="11" spans="1:8" x14ac:dyDescent="0.35">
      <c r="B11">
        <v>2014</v>
      </c>
      <c r="C11">
        <v>4.03</v>
      </c>
      <c r="D11">
        <v>0.39800000000000002</v>
      </c>
      <c r="E11">
        <v>90</v>
      </c>
      <c r="F11">
        <v>0.39800000000000002</v>
      </c>
      <c r="G11">
        <f>(90/163)*100</f>
        <v>55.214723926380373</v>
      </c>
      <c r="H11">
        <f>(318/629)*100</f>
        <v>50.556438791732901</v>
      </c>
    </row>
    <row r="12" spans="1:8" x14ac:dyDescent="0.35">
      <c r="B12">
        <v>2015</v>
      </c>
      <c r="C12">
        <v>3.22</v>
      </c>
      <c r="D12">
        <v>0.372</v>
      </c>
      <c r="E12">
        <v>128</v>
      </c>
      <c r="F12">
        <v>0.46200000000000002</v>
      </c>
      <c r="G12">
        <f>(128/230)*100</f>
        <v>55.652173913043477</v>
      </c>
      <c r="H12">
        <f>(367/729)*100</f>
        <v>50.342935528120712</v>
      </c>
    </row>
    <row r="13" spans="1:8" x14ac:dyDescent="0.35">
      <c r="B13">
        <v>2016</v>
      </c>
      <c r="C13">
        <v>3.4</v>
      </c>
      <c r="D13">
        <v>0.38600000000000001</v>
      </c>
      <c r="E13">
        <v>98</v>
      </c>
      <c r="F13">
        <v>0.40699999999999997</v>
      </c>
      <c r="G13">
        <f>(98/198)*100</f>
        <v>49.494949494949495</v>
      </c>
      <c r="H13">
        <f>(334/724)*100</f>
        <v>46.132596685082873</v>
      </c>
    </row>
    <row r="14" spans="1:8" x14ac:dyDescent="0.35">
      <c r="B14" s="1">
        <v>2017</v>
      </c>
      <c r="C14">
        <v>3.65</v>
      </c>
      <c r="D14">
        <v>0.38800000000000001</v>
      </c>
      <c r="E14">
        <v>115</v>
      </c>
      <c r="F14">
        <v>0.47199999999999998</v>
      </c>
      <c r="G14">
        <f>(115/238)*100</f>
        <v>48.319327731092436</v>
      </c>
      <c r="H14">
        <f>(395/896)*100</f>
        <v>44.084821428571431</v>
      </c>
    </row>
    <row r="15" spans="1:8" x14ac:dyDescent="0.35">
      <c r="B15" s="2">
        <v>2018</v>
      </c>
      <c r="C15">
        <v>3.34</v>
      </c>
      <c r="D15">
        <v>0.371</v>
      </c>
      <c r="E15">
        <v>92</v>
      </c>
      <c r="F15">
        <v>0.40300000000000002</v>
      </c>
      <c r="G15">
        <f>(92/205)*100</f>
        <v>44.878048780487809</v>
      </c>
      <c r="H15">
        <f>(373/797)*100</f>
        <v>46.800501882057716</v>
      </c>
    </row>
    <row r="16" spans="1:8" x14ac:dyDescent="0.35">
      <c r="B16">
        <v>2019</v>
      </c>
      <c r="C16">
        <v>3.72</v>
      </c>
      <c r="D16">
        <v>0.40300000000000002</v>
      </c>
      <c r="E16">
        <v>150</v>
      </c>
      <c r="F16">
        <v>0.51600000000000001</v>
      </c>
      <c r="G16">
        <f>(150/288)*100</f>
        <v>52.083333333333336</v>
      </c>
      <c r="H16">
        <f>(489/920)*100</f>
        <v>53.152173913043477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27FA-C8E4-43D2-8004-4BC0BD316979}">
  <dimension ref="A1:F31"/>
  <sheetViews>
    <sheetView tabSelected="1" workbookViewId="0">
      <selection activeCell="G9" sqref="G9"/>
    </sheetView>
  </sheetViews>
  <sheetFormatPr defaultRowHeight="14.5" x14ac:dyDescent="0.35"/>
  <cols>
    <col min="1" max="1" width="25.26953125" bestFit="1" customWidth="1"/>
    <col min="2" max="2" width="13.1796875" bestFit="1" customWidth="1"/>
    <col min="3" max="3" width="15.26953125" bestFit="1" customWidth="1"/>
    <col min="4" max="4" width="25.7265625" bestFit="1" customWidth="1"/>
    <col min="5" max="5" width="15.7265625" style="4" bestFit="1" customWidth="1"/>
    <col min="6" max="6" width="36.6328125" bestFit="1" customWidth="1"/>
  </cols>
  <sheetData>
    <row r="1" spans="1:6" x14ac:dyDescent="0.35">
      <c r="A1" s="1" t="s">
        <v>30</v>
      </c>
      <c r="B1" s="1" t="s">
        <v>31</v>
      </c>
      <c r="C1" s="1" t="s">
        <v>32</v>
      </c>
      <c r="D1" s="3" t="s">
        <v>33</v>
      </c>
      <c r="E1" s="3" t="s">
        <v>34</v>
      </c>
      <c r="F1" s="3" t="s">
        <v>35</v>
      </c>
    </row>
    <row r="2" spans="1:6" x14ac:dyDescent="0.35">
      <c r="A2" s="1" t="s">
        <v>36</v>
      </c>
      <c r="B2" t="s">
        <v>37</v>
      </c>
      <c r="C2" t="s">
        <v>38</v>
      </c>
      <c r="D2" s="4">
        <v>5183</v>
      </c>
      <c r="E2" s="5">
        <v>0.37</v>
      </c>
      <c r="F2" s="4">
        <v>86</v>
      </c>
    </row>
    <row r="3" spans="1:6" x14ac:dyDescent="0.35">
      <c r="A3" s="1" t="s">
        <v>39</v>
      </c>
      <c r="B3" t="s">
        <v>40</v>
      </c>
      <c r="C3" t="s">
        <v>41</v>
      </c>
      <c r="D3" s="4">
        <v>596</v>
      </c>
      <c r="E3" s="6">
        <v>0.71</v>
      </c>
      <c r="F3" s="4">
        <v>82</v>
      </c>
    </row>
    <row r="4" spans="1:6" x14ac:dyDescent="0.35">
      <c r="A4" s="1" t="s">
        <v>42</v>
      </c>
      <c r="B4" t="s">
        <v>43</v>
      </c>
      <c r="C4" t="s">
        <v>44</v>
      </c>
      <c r="D4" s="4">
        <v>683</v>
      </c>
      <c r="E4" s="6">
        <v>0.56999999999999995</v>
      </c>
      <c r="F4" s="4">
        <v>84</v>
      </c>
    </row>
    <row r="5" spans="1:6" x14ac:dyDescent="0.35">
      <c r="A5" s="1" t="s">
        <v>45</v>
      </c>
      <c r="B5" t="s">
        <v>46</v>
      </c>
      <c r="C5" t="s">
        <v>47</v>
      </c>
      <c r="D5" s="4">
        <v>130</v>
      </c>
      <c r="E5" s="6">
        <v>0.75</v>
      </c>
      <c r="F5" s="4">
        <v>87</v>
      </c>
    </row>
    <row r="6" spans="1:6" x14ac:dyDescent="0.35">
      <c r="A6" s="1" t="s">
        <v>48</v>
      </c>
      <c r="B6" t="s">
        <v>49</v>
      </c>
      <c r="C6" t="s">
        <v>50</v>
      </c>
      <c r="D6" s="4">
        <v>616</v>
      </c>
      <c r="E6" s="6">
        <v>0.64</v>
      </c>
      <c r="F6" s="4">
        <v>92</v>
      </c>
    </row>
    <row r="7" spans="1:6" x14ac:dyDescent="0.35">
      <c r="A7" s="1" t="s">
        <v>51</v>
      </c>
      <c r="B7" t="s">
        <v>52</v>
      </c>
      <c r="C7" t="s">
        <v>53</v>
      </c>
      <c r="D7" s="4">
        <v>54</v>
      </c>
      <c r="E7" s="6">
        <v>0.63</v>
      </c>
      <c r="F7" s="4">
        <v>83</v>
      </c>
    </row>
    <row r="8" spans="1:6" x14ac:dyDescent="0.35">
      <c r="A8" s="1" t="s">
        <v>54</v>
      </c>
      <c r="B8" t="s">
        <v>55</v>
      </c>
      <c r="C8" t="s">
        <v>56</v>
      </c>
      <c r="D8" s="4">
        <v>593</v>
      </c>
      <c r="E8" s="6">
        <v>0.72</v>
      </c>
      <c r="F8" s="4">
        <v>75</v>
      </c>
    </row>
    <row r="9" spans="1:6" x14ac:dyDescent="0.35">
      <c r="A9" s="1" t="s">
        <v>57</v>
      </c>
      <c r="B9" t="s">
        <v>58</v>
      </c>
      <c r="C9" t="s">
        <v>59</v>
      </c>
      <c r="D9" s="4">
        <v>1082</v>
      </c>
      <c r="E9" s="6">
        <v>0.37</v>
      </c>
      <c r="F9" s="4">
        <v>102</v>
      </c>
    </row>
    <row r="10" spans="1:6" x14ac:dyDescent="0.35">
      <c r="A10" s="1" t="s">
        <v>3</v>
      </c>
      <c r="B10" t="s">
        <v>60</v>
      </c>
      <c r="C10" t="s">
        <v>61</v>
      </c>
      <c r="D10" s="4">
        <v>38</v>
      </c>
      <c r="E10" s="6">
        <v>0.75</v>
      </c>
      <c r="F10" s="4">
        <v>90</v>
      </c>
    </row>
    <row r="11" spans="1:6" x14ac:dyDescent="0.35">
      <c r="A11" s="1" t="s">
        <v>62</v>
      </c>
      <c r="B11" t="s">
        <v>63</v>
      </c>
      <c r="C11" t="s">
        <v>64</v>
      </c>
      <c r="D11" s="4">
        <v>9</v>
      </c>
      <c r="E11" s="6">
        <v>0.55000000000000004</v>
      </c>
      <c r="F11" s="4">
        <v>87</v>
      </c>
    </row>
    <row r="12" spans="1:6" x14ac:dyDescent="0.35">
      <c r="A12" s="1" t="s">
        <v>65</v>
      </c>
      <c r="B12" t="s">
        <v>66</v>
      </c>
      <c r="C12" t="s">
        <v>67</v>
      </c>
      <c r="D12" s="4">
        <v>522</v>
      </c>
      <c r="E12" s="6">
        <v>0.52</v>
      </c>
      <c r="F12" s="4">
        <v>81</v>
      </c>
    </row>
    <row r="13" spans="1:6" x14ac:dyDescent="0.35">
      <c r="A13" s="1" t="s">
        <v>68</v>
      </c>
      <c r="B13" t="s">
        <v>69</v>
      </c>
      <c r="C13" t="s">
        <v>70</v>
      </c>
      <c r="D13" s="4">
        <v>20</v>
      </c>
      <c r="E13" s="6">
        <v>0.56999999999999995</v>
      </c>
      <c r="F13" s="4">
        <v>80</v>
      </c>
    </row>
    <row r="14" spans="1:6" x14ac:dyDescent="0.35">
      <c r="A14" s="1" t="s">
        <v>71</v>
      </c>
      <c r="B14" t="s">
        <v>72</v>
      </c>
      <c r="C14" t="s">
        <v>53</v>
      </c>
      <c r="D14" s="4">
        <v>13</v>
      </c>
      <c r="E14" s="6">
        <v>0.63</v>
      </c>
      <c r="F14" s="4">
        <v>83</v>
      </c>
    </row>
    <row r="15" spans="1:6" x14ac:dyDescent="0.35">
      <c r="A15" s="1" t="s">
        <v>73</v>
      </c>
      <c r="B15" t="s">
        <v>74</v>
      </c>
      <c r="C15" t="s">
        <v>75</v>
      </c>
      <c r="D15" s="4">
        <v>1001</v>
      </c>
      <c r="E15" s="6">
        <v>0.55000000000000004</v>
      </c>
      <c r="F15" s="4">
        <v>88</v>
      </c>
    </row>
    <row r="16" spans="1:6" x14ac:dyDescent="0.35">
      <c r="A16" s="1" t="s">
        <v>76</v>
      </c>
      <c r="B16" t="s">
        <v>77</v>
      </c>
      <c r="C16" t="s">
        <v>78</v>
      </c>
      <c r="D16" s="4">
        <v>148</v>
      </c>
      <c r="E16" s="6">
        <v>0.55000000000000004</v>
      </c>
      <c r="F16" s="4">
        <v>81</v>
      </c>
    </row>
    <row r="17" spans="1:6" x14ac:dyDescent="0.35">
      <c r="A17" s="1" t="s">
        <v>79</v>
      </c>
      <c r="B17" t="s">
        <v>80</v>
      </c>
      <c r="C17" t="s">
        <v>41</v>
      </c>
      <c r="D17" s="4">
        <v>135</v>
      </c>
      <c r="E17" s="6">
        <v>0.71</v>
      </c>
      <c r="F17" s="4">
        <v>82</v>
      </c>
    </row>
    <row r="18" spans="1:6" x14ac:dyDescent="0.35">
      <c r="A18" s="1" t="s">
        <v>10</v>
      </c>
      <c r="B18" t="s">
        <v>81</v>
      </c>
      <c r="C18" t="s">
        <v>82</v>
      </c>
      <c r="D18" s="4">
        <v>16</v>
      </c>
      <c r="E18" s="6">
        <v>0.76</v>
      </c>
      <c r="F18" s="4">
        <v>74</v>
      </c>
    </row>
    <row r="19" spans="1:6" x14ac:dyDescent="0.35">
      <c r="A19" s="1" t="s">
        <v>83</v>
      </c>
      <c r="B19" t="s">
        <v>84</v>
      </c>
      <c r="C19" t="s">
        <v>85</v>
      </c>
      <c r="D19" s="4">
        <v>282</v>
      </c>
      <c r="E19" s="6">
        <v>0.61</v>
      </c>
      <c r="F19" s="4">
        <v>77</v>
      </c>
    </row>
    <row r="20" spans="1:6" x14ac:dyDescent="0.35">
      <c r="A20" s="1" t="s">
        <v>86</v>
      </c>
      <c r="B20" t="s">
        <v>87</v>
      </c>
      <c r="C20" t="s">
        <v>88</v>
      </c>
      <c r="D20" s="4">
        <v>415</v>
      </c>
      <c r="E20" s="6">
        <v>0.68</v>
      </c>
      <c r="F20" s="4">
        <v>67</v>
      </c>
    </row>
    <row r="21" spans="1:6" x14ac:dyDescent="0.35">
      <c r="A21" s="1" t="s">
        <v>89</v>
      </c>
      <c r="B21" t="s">
        <v>90</v>
      </c>
      <c r="C21" t="s">
        <v>91</v>
      </c>
      <c r="D21" s="4">
        <v>436</v>
      </c>
      <c r="E21" s="6">
        <v>0.56000000000000005</v>
      </c>
      <c r="F21" s="4">
        <v>88</v>
      </c>
    </row>
    <row r="22" spans="1:6" x14ac:dyDescent="0.35">
      <c r="A22" s="1" t="s">
        <v>92</v>
      </c>
      <c r="B22" t="s">
        <v>93</v>
      </c>
      <c r="C22" t="s">
        <v>94</v>
      </c>
      <c r="D22" s="4">
        <v>653</v>
      </c>
      <c r="E22" s="6">
        <v>0.61</v>
      </c>
      <c r="F22" s="4">
        <v>81</v>
      </c>
    </row>
    <row r="23" spans="1:6" x14ac:dyDescent="0.35">
      <c r="A23" s="1" t="s">
        <v>95</v>
      </c>
      <c r="B23" t="s">
        <v>96</v>
      </c>
      <c r="C23" t="s">
        <v>97</v>
      </c>
      <c r="D23" s="4">
        <v>577</v>
      </c>
      <c r="E23" s="6">
        <v>0.59</v>
      </c>
      <c r="F23" s="4">
        <v>80</v>
      </c>
    </row>
    <row r="24" spans="1:6" x14ac:dyDescent="0.35">
      <c r="A24" s="1" t="s">
        <v>98</v>
      </c>
      <c r="B24" t="s">
        <v>99</v>
      </c>
      <c r="C24" t="s">
        <v>100</v>
      </c>
      <c r="D24" s="4">
        <v>43</v>
      </c>
      <c r="E24" s="6">
        <v>0.63</v>
      </c>
      <c r="F24" s="4">
        <v>90</v>
      </c>
    </row>
    <row r="25" spans="1:6" x14ac:dyDescent="0.35">
      <c r="A25" s="1" t="s">
        <v>101</v>
      </c>
      <c r="B25" t="s">
        <v>102</v>
      </c>
      <c r="C25" t="s">
        <v>103</v>
      </c>
      <c r="D25" s="4">
        <v>840</v>
      </c>
      <c r="E25" s="6">
        <v>0.59</v>
      </c>
      <c r="F25" s="4">
        <v>80</v>
      </c>
    </row>
    <row r="26" spans="1:6" x14ac:dyDescent="0.35">
      <c r="A26" s="1" t="s">
        <v>104</v>
      </c>
      <c r="B26" t="s">
        <v>105</v>
      </c>
      <c r="C26" t="s">
        <v>106</v>
      </c>
      <c r="D26" s="4">
        <v>743</v>
      </c>
      <c r="E26" s="6">
        <v>0.57999999999999996</v>
      </c>
      <c r="F26" s="4">
        <v>81</v>
      </c>
    </row>
    <row r="27" spans="1:6" x14ac:dyDescent="0.35">
      <c r="A27" s="1" t="s">
        <v>107</v>
      </c>
      <c r="B27" t="s">
        <v>108</v>
      </c>
      <c r="C27" t="s">
        <v>109</v>
      </c>
      <c r="D27" s="4">
        <v>-21</v>
      </c>
      <c r="E27" s="6">
        <v>0.75</v>
      </c>
      <c r="F27" s="4">
        <v>72</v>
      </c>
    </row>
    <row r="28" spans="1:6" x14ac:dyDescent="0.35">
      <c r="A28" s="1" t="s">
        <v>110</v>
      </c>
      <c r="B28" t="s">
        <v>111</v>
      </c>
      <c r="C28" t="s">
        <v>112</v>
      </c>
      <c r="D28" s="4">
        <v>7</v>
      </c>
      <c r="E28" s="6">
        <v>0.66</v>
      </c>
      <c r="F28" s="4">
        <v>87</v>
      </c>
    </row>
    <row r="29" spans="1:6" x14ac:dyDescent="0.35">
      <c r="A29" s="1" t="s">
        <v>113</v>
      </c>
      <c r="B29" t="s">
        <v>114</v>
      </c>
      <c r="C29" t="s">
        <v>115</v>
      </c>
      <c r="D29" s="4">
        <v>886</v>
      </c>
      <c r="E29" s="6">
        <v>0.66</v>
      </c>
      <c r="F29" s="4">
        <v>87</v>
      </c>
    </row>
    <row r="30" spans="1:6" x14ac:dyDescent="0.35">
      <c r="A30" s="1" t="s">
        <v>116</v>
      </c>
      <c r="B30" t="s">
        <v>117</v>
      </c>
      <c r="C30" t="s">
        <v>118</v>
      </c>
      <c r="D30" s="4">
        <v>3</v>
      </c>
      <c r="E30" s="6">
        <v>0.61</v>
      </c>
      <c r="F30" s="4">
        <v>87</v>
      </c>
    </row>
    <row r="31" spans="1:6" x14ac:dyDescent="0.35">
      <c r="A31" s="1" t="s">
        <v>12</v>
      </c>
      <c r="B31" t="s">
        <v>119</v>
      </c>
      <c r="C31" t="s">
        <v>120</v>
      </c>
      <c r="D31" s="4">
        <v>14</v>
      </c>
      <c r="E31" s="6">
        <v>0.73</v>
      </c>
      <c r="F31" s="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492D-19A4-4782-BDE3-03573605517D}">
  <dimension ref="A1:H15"/>
  <sheetViews>
    <sheetView zoomScale="65" workbookViewId="0">
      <selection activeCell="T29" sqref="T29"/>
    </sheetView>
  </sheetViews>
  <sheetFormatPr defaultRowHeight="14.5" x14ac:dyDescent="0.35"/>
  <cols>
    <col min="1" max="1" width="12.90625" bestFit="1" customWidth="1"/>
    <col min="2" max="2" width="8.81640625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7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8</v>
      </c>
      <c r="B2">
        <v>2006</v>
      </c>
      <c r="C2">
        <v>4.07</v>
      </c>
      <c r="D2">
        <v>0.41499999999999998</v>
      </c>
      <c r="E2">
        <v>84</v>
      </c>
      <c r="F2">
        <v>0.42699999999999999</v>
      </c>
      <c r="G2">
        <f>(84/(84+98))*100</f>
        <v>46.153846153846153</v>
      </c>
      <c r="H2">
        <f>(353/(353+405))*100</f>
        <v>46.569920844327179</v>
      </c>
    </row>
    <row r="3" spans="1:8" x14ac:dyDescent="0.35">
      <c r="A3" s="1"/>
      <c r="B3">
        <v>2007</v>
      </c>
      <c r="C3">
        <v>4.8</v>
      </c>
      <c r="D3">
        <v>0.43099999999999999</v>
      </c>
      <c r="E3">
        <v>110</v>
      </c>
      <c r="F3">
        <v>0.46600000000000003</v>
      </c>
      <c r="G3">
        <f>(110/(91+110))*100</f>
        <v>54.726368159203972</v>
      </c>
      <c r="H3">
        <f>(409/(409+381))*100</f>
        <v>51.772151898734172</v>
      </c>
    </row>
    <row r="4" spans="1:8" x14ac:dyDescent="0.35">
      <c r="A4" s="1"/>
      <c r="B4">
        <v>2008</v>
      </c>
      <c r="C4">
        <v>4.3099999999999996</v>
      </c>
      <c r="D4">
        <v>0.4</v>
      </c>
      <c r="E4">
        <v>94</v>
      </c>
      <c r="F4">
        <v>0.41899999999999998</v>
      </c>
      <c r="G4">
        <f>(94/(94+114))*100</f>
        <v>45.192307692307693</v>
      </c>
      <c r="H4">
        <f>(369/(369+401))*100</f>
        <v>47.922077922077918</v>
      </c>
    </row>
    <row r="5" spans="1:8" x14ac:dyDescent="0.35">
      <c r="A5" s="1"/>
      <c r="B5">
        <v>2009</v>
      </c>
      <c r="C5">
        <v>4.51</v>
      </c>
      <c r="D5">
        <v>0.40899999999999997</v>
      </c>
      <c r="E5">
        <v>86</v>
      </c>
      <c r="F5">
        <v>0.42799999999999999</v>
      </c>
      <c r="G5">
        <f>(86/(86+73))*100</f>
        <v>54.088050314465406</v>
      </c>
      <c r="H5">
        <f>(393/(393+379))*100</f>
        <v>50.906735751295344</v>
      </c>
    </row>
    <row r="6" spans="1:8" x14ac:dyDescent="0.35">
      <c r="A6" s="1"/>
      <c r="B6">
        <v>2010</v>
      </c>
      <c r="C6">
        <v>3.9</v>
      </c>
      <c r="D6">
        <v>0.38500000000000001</v>
      </c>
      <c r="E6">
        <v>69</v>
      </c>
      <c r="F6">
        <v>0.39600000000000002</v>
      </c>
      <c r="G6">
        <f>(69/(69+83))*100</f>
        <v>45.394736842105267</v>
      </c>
      <c r="H6">
        <f>(365/(365+354))*100</f>
        <v>50.764951321279547</v>
      </c>
    </row>
    <row r="7" spans="1:8" x14ac:dyDescent="0.35">
      <c r="A7" s="1"/>
      <c r="B7">
        <v>2011</v>
      </c>
      <c r="C7">
        <v>3.71</v>
      </c>
      <c r="D7">
        <v>0.39</v>
      </c>
      <c r="E7">
        <v>72</v>
      </c>
      <c r="F7">
        <v>0.39300000000000002</v>
      </c>
      <c r="G7">
        <f>(72/(72+77))*100</f>
        <v>48.322147651006716</v>
      </c>
      <c r="H7">
        <f>(299/(299+326))*100</f>
        <v>47.839999999999996</v>
      </c>
    </row>
    <row r="8" spans="1:8" x14ac:dyDescent="0.35">
      <c r="B8">
        <v>2012</v>
      </c>
      <c r="C8">
        <v>4.05</v>
      </c>
      <c r="D8">
        <v>0.38100000000000001</v>
      </c>
      <c r="E8">
        <v>55</v>
      </c>
      <c r="F8">
        <v>0.378</v>
      </c>
      <c r="G8">
        <f>(55/137)*100</f>
        <v>40.145985401459853</v>
      </c>
      <c r="H8">
        <f>(305/609)*100</f>
        <v>50.082101806239741</v>
      </c>
    </row>
    <row r="9" spans="1:8" x14ac:dyDescent="0.35">
      <c r="B9">
        <v>2013</v>
      </c>
      <c r="C9">
        <v>3.56</v>
      </c>
      <c r="D9">
        <v>0.375</v>
      </c>
      <c r="E9">
        <v>36</v>
      </c>
      <c r="F9">
        <v>0.32900000000000001</v>
      </c>
      <c r="G9">
        <f>(36/95)*100</f>
        <v>37.894736842105267</v>
      </c>
      <c r="H9">
        <f>(276/513)*100</f>
        <v>53.801169590643269</v>
      </c>
    </row>
    <row r="10" spans="1:8" x14ac:dyDescent="0.35">
      <c r="B10">
        <v>2014</v>
      </c>
      <c r="C10">
        <v>3.39</v>
      </c>
      <c r="D10">
        <v>0.36799999999999999</v>
      </c>
      <c r="E10">
        <v>59</v>
      </c>
      <c r="F10">
        <v>0.39600000000000002</v>
      </c>
      <c r="G10">
        <f>(59/122)*100</f>
        <v>48.360655737704917</v>
      </c>
      <c r="H10">
        <f>(349/645)*100</f>
        <v>54.108527131782949</v>
      </c>
    </row>
    <row r="11" spans="1:8" x14ac:dyDescent="0.35">
      <c r="B11">
        <v>2015</v>
      </c>
      <c r="C11">
        <v>3.73</v>
      </c>
      <c r="D11">
        <v>0.374</v>
      </c>
      <c r="E11">
        <v>53</v>
      </c>
      <c r="F11">
        <v>0.377</v>
      </c>
      <c r="G11">
        <f>(53/120)*100</f>
        <v>44.166666666666664</v>
      </c>
      <c r="H11">
        <f>(306/613)*100</f>
        <v>49.9184339314845</v>
      </c>
    </row>
    <row r="12" spans="1:8" x14ac:dyDescent="0.35">
      <c r="B12" s="1">
        <v>2016</v>
      </c>
      <c r="C12">
        <v>3.53</v>
      </c>
      <c r="D12">
        <v>0.36399999999999999</v>
      </c>
      <c r="E12">
        <v>58</v>
      </c>
      <c r="F12">
        <v>0.379</v>
      </c>
      <c r="G12">
        <f>(58/128)*100</f>
        <v>45.3125</v>
      </c>
      <c r="H12">
        <f>(302/655)*100</f>
        <v>46.106870229007633</v>
      </c>
    </row>
    <row r="13" spans="1:8" x14ac:dyDescent="0.35">
      <c r="B13">
        <v>2017</v>
      </c>
      <c r="C13">
        <v>4.01</v>
      </c>
      <c r="D13">
        <v>0.38900000000000001</v>
      </c>
      <c r="E13">
        <v>95</v>
      </c>
      <c r="F13">
        <v>0.42399999999999999</v>
      </c>
      <c r="G13">
        <f>(95/194)*100</f>
        <v>48.96907216494845</v>
      </c>
      <c r="H13">
        <f>(360/778)*100</f>
        <v>46.272493573264782</v>
      </c>
    </row>
    <row r="14" spans="1:8" x14ac:dyDescent="0.35">
      <c r="B14">
        <v>2018</v>
      </c>
      <c r="C14">
        <v>3.56</v>
      </c>
      <c r="D14">
        <v>0.373</v>
      </c>
      <c r="E14">
        <v>53</v>
      </c>
      <c r="F14">
        <v>0.33800000000000002</v>
      </c>
      <c r="G14">
        <f>(53/128)*100</f>
        <v>41.40625</v>
      </c>
      <c r="H14">
        <f>(279/589)*100</f>
        <v>47.368421052631575</v>
      </c>
    </row>
    <row r="15" spans="1:8" x14ac:dyDescent="0.35">
      <c r="B15">
        <v>2019</v>
      </c>
      <c r="C15">
        <v>4.79</v>
      </c>
      <c r="D15">
        <v>0.42</v>
      </c>
      <c r="E15">
        <v>68</v>
      </c>
      <c r="F15">
        <v>0.375</v>
      </c>
      <c r="G15">
        <f>(68/146)*100</f>
        <v>46.575342465753423</v>
      </c>
      <c r="H15">
        <f>(326/615)*100</f>
        <v>53.008130081300806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F0AC-EE06-40B3-9DA2-00FCDB03E711}">
  <dimension ref="A1:H18"/>
  <sheetViews>
    <sheetView topLeftCell="A19" zoomScale="67" workbookViewId="0">
      <selection activeCell="H1" activeCellId="1" sqref="B1:B1048576 H1:H1048576"/>
    </sheetView>
  </sheetViews>
  <sheetFormatPr defaultRowHeight="14.5" x14ac:dyDescent="0.35"/>
  <cols>
    <col min="1" max="1" width="15.269531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9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s="2" t="s">
        <v>10</v>
      </c>
      <c r="B2">
        <v>2003</v>
      </c>
      <c r="C2">
        <v>4.28</v>
      </c>
      <c r="D2">
        <v>0.41199999999999998</v>
      </c>
      <c r="E2">
        <v>55</v>
      </c>
      <c r="F2">
        <v>0.375</v>
      </c>
      <c r="G2">
        <f>(55/128)*100</f>
        <v>42.96875</v>
      </c>
      <c r="H2">
        <f>(306/678)*100</f>
        <v>45.132743362831853</v>
      </c>
    </row>
    <row r="3" spans="1:8" x14ac:dyDescent="0.35">
      <c r="A3" s="1"/>
      <c r="B3">
        <v>2004</v>
      </c>
      <c r="C3">
        <v>3.85</v>
      </c>
      <c r="D3">
        <v>0.40899999999999997</v>
      </c>
      <c r="E3">
        <v>57</v>
      </c>
      <c r="F3">
        <v>0.38700000000000001</v>
      </c>
      <c r="G3">
        <f>(57/139)*100</f>
        <v>41.007194244604314</v>
      </c>
      <c r="H3">
        <f>(329/768)*100</f>
        <v>42.838541666666671</v>
      </c>
    </row>
    <row r="4" spans="1:8" x14ac:dyDescent="0.35">
      <c r="A4" s="1"/>
      <c r="B4">
        <v>2005</v>
      </c>
      <c r="C4">
        <v>3.52</v>
      </c>
      <c r="D4">
        <v>0.378</v>
      </c>
      <c r="E4">
        <v>54</v>
      </c>
      <c r="F4">
        <v>0.377</v>
      </c>
      <c r="G4">
        <f>(54/130)*100</f>
        <v>41.53846153846154</v>
      </c>
      <c r="H4">
        <f>(308/684)*100</f>
        <v>45.029239766081872</v>
      </c>
    </row>
    <row r="5" spans="1:8" x14ac:dyDescent="0.35">
      <c r="A5" s="1"/>
      <c r="B5">
        <v>2006</v>
      </c>
      <c r="C5">
        <v>3.75</v>
      </c>
      <c r="D5">
        <v>0.39600000000000002</v>
      </c>
      <c r="E5">
        <v>75</v>
      </c>
      <c r="F5">
        <v>0.38800000000000001</v>
      </c>
      <c r="G5">
        <f>(75/161)*100</f>
        <v>46.58385093167702</v>
      </c>
      <c r="H5">
        <f>(315/731)*100</f>
        <v>43.091655266757869</v>
      </c>
    </row>
    <row r="6" spans="1:8" x14ac:dyDescent="0.35">
      <c r="A6" s="1"/>
      <c r="B6">
        <v>2007</v>
      </c>
      <c r="C6">
        <v>3.02</v>
      </c>
      <c r="D6">
        <v>0.33600000000000002</v>
      </c>
      <c r="E6">
        <v>72</v>
      </c>
      <c r="F6">
        <v>0.378</v>
      </c>
      <c r="G6">
        <f>(72/171)*100</f>
        <v>42.105263157894733</v>
      </c>
      <c r="H6">
        <f>(323/741)*100</f>
        <v>43.589743589743591</v>
      </c>
    </row>
    <row r="7" spans="1:8" x14ac:dyDescent="0.35">
      <c r="A7" s="1"/>
      <c r="B7">
        <v>2008</v>
      </c>
      <c r="C7">
        <v>3.65</v>
      </c>
      <c r="D7">
        <v>0.36799999999999999</v>
      </c>
      <c r="E7">
        <v>66</v>
      </c>
      <c r="F7">
        <v>0.36499999999999999</v>
      </c>
      <c r="G7">
        <f>(66/154)*100</f>
        <v>42.857142857142854</v>
      </c>
      <c r="H7">
        <f>(289/637)*100</f>
        <v>45.368916797488225</v>
      </c>
    </row>
    <row r="8" spans="1:8" x14ac:dyDescent="0.35">
      <c r="B8">
        <v>2009</v>
      </c>
      <c r="C8">
        <v>3.44</v>
      </c>
      <c r="D8">
        <v>0.35299999999999998</v>
      </c>
      <c r="E8">
        <v>61</v>
      </c>
      <c r="F8">
        <v>0.34200000000000003</v>
      </c>
      <c r="G8">
        <f>(61/141)*100</f>
        <v>43.262411347517734</v>
      </c>
      <c r="H8">
        <f>(278/638)*100</f>
        <v>43.573667711598745</v>
      </c>
    </row>
    <row r="9" spans="1:8" x14ac:dyDescent="0.35">
      <c r="B9">
        <v>2010</v>
      </c>
      <c r="C9">
        <v>2.9</v>
      </c>
      <c r="D9">
        <v>0.34499999999999997</v>
      </c>
      <c r="E9">
        <v>59</v>
      </c>
      <c r="F9">
        <v>0.35799999999999998</v>
      </c>
      <c r="G9">
        <f>(59/132)*100</f>
        <v>44.696969696969695</v>
      </c>
      <c r="H9">
        <f>(322/665)*100</f>
        <v>48.421052631578945</v>
      </c>
    </row>
    <row r="10" spans="1:8" x14ac:dyDescent="0.35">
      <c r="B10">
        <v>2011</v>
      </c>
      <c r="C10">
        <v>3.02</v>
      </c>
      <c r="D10">
        <v>0.35499999999999998</v>
      </c>
      <c r="E10">
        <v>46</v>
      </c>
      <c r="F10">
        <v>0.33400000000000002</v>
      </c>
      <c r="G10">
        <f>(46/91)*100</f>
        <v>50.549450549450547</v>
      </c>
      <c r="H10">
        <f>(255/593)*100</f>
        <v>43.001686340640809</v>
      </c>
    </row>
    <row r="11" spans="1:8" x14ac:dyDescent="0.35">
      <c r="B11" s="1">
        <v>2012</v>
      </c>
      <c r="C11">
        <v>3.35</v>
      </c>
      <c r="D11">
        <v>0.36599999999999999</v>
      </c>
      <c r="E11">
        <v>47</v>
      </c>
      <c r="F11">
        <v>0.36699999999999999</v>
      </c>
      <c r="G11">
        <f>(47/121)*100</f>
        <v>38.84297520661157</v>
      </c>
      <c r="H11">
        <f>(309/651)*100</f>
        <v>47.465437788018434</v>
      </c>
    </row>
    <row r="12" spans="1:8" x14ac:dyDescent="0.35">
      <c r="B12">
        <v>2013</v>
      </c>
      <c r="C12">
        <v>3.24</v>
      </c>
      <c r="D12">
        <v>0.373</v>
      </c>
      <c r="E12">
        <v>66</v>
      </c>
      <c r="F12">
        <v>0.36699999999999999</v>
      </c>
      <c r="G12">
        <f>(66/146)*100</f>
        <v>45.205479452054789</v>
      </c>
      <c r="H12">
        <f>(291/618)*100</f>
        <v>47.087378640776699</v>
      </c>
    </row>
    <row r="13" spans="1:8" x14ac:dyDescent="0.35">
      <c r="B13">
        <v>2014</v>
      </c>
      <c r="C13">
        <v>2.56</v>
      </c>
      <c r="D13">
        <v>0.32</v>
      </c>
      <c r="E13">
        <v>54</v>
      </c>
      <c r="F13">
        <v>0.34799999999999998</v>
      </c>
      <c r="G13">
        <f>(54/109)*100</f>
        <v>49.541284403669728</v>
      </c>
      <c r="H13">
        <f>(267/535)*100</f>
        <v>49.906542056074763</v>
      </c>
    </row>
    <row r="14" spans="1:8" x14ac:dyDescent="0.35">
      <c r="B14">
        <v>2015</v>
      </c>
      <c r="C14">
        <v>3.76</v>
      </c>
      <c r="D14">
        <v>0.40500000000000003</v>
      </c>
      <c r="E14">
        <v>74</v>
      </c>
      <c r="F14">
        <v>0.39200000000000002</v>
      </c>
      <c r="G14">
        <f>(74/148)*100</f>
        <v>50</v>
      </c>
      <c r="H14">
        <f>(321/650)*100</f>
        <v>49.38461538461538</v>
      </c>
    </row>
    <row r="15" spans="1:8" x14ac:dyDescent="0.35">
      <c r="B15">
        <v>2016</v>
      </c>
      <c r="C15">
        <v>4.13</v>
      </c>
      <c r="D15">
        <v>0.41</v>
      </c>
      <c r="E15">
        <v>83</v>
      </c>
      <c r="F15">
        <v>0.39300000000000002</v>
      </c>
      <c r="G15">
        <f>(83/177)*100</f>
        <v>46.89265536723164</v>
      </c>
      <c r="H15">
        <f>(350/686)*100</f>
        <v>51.020408163265309</v>
      </c>
    </row>
    <row r="16" spans="1:8" x14ac:dyDescent="0.35">
      <c r="B16">
        <v>2017</v>
      </c>
      <c r="C16">
        <v>3.75</v>
      </c>
      <c r="D16">
        <v>0.39200000000000002</v>
      </c>
      <c r="E16">
        <v>89</v>
      </c>
      <c r="F16">
        <v>0.39400000000000002</v>
      </c>
      <c r="G16">
        <f>(89/189)*100</f>
        <v>47.089947089947088</v>
      </c>
      <c r="H16">
        <f>(302/604)*100</f>
        <v>50</v>
      </c>
    </row>
    <row r="17" spans="2:8" x14ac:dyDescent="0.35">
      <c r="B17">
        <v>2018</v>
      </c>
      <c r="C17">
        <v>4.13</v>
      </c>
      <c r="D17">
        <v>0.41</v>
      </c>
      <c r="E17">
        <v>81</v>
      </c>
      <c r="F17">
        <v>0.378</v>
      </c>
      <c r="G17">
        <f>(81/162)*100</f>
        <v>50</v>
      </c>
      <c r="H17">
        <f>(313/617)*100</f>
        <v>50.729335494327387</v>
      </c>
    </row>
    <row r="18" spans="2:8" x14ac:dyDescent="0.35">
      <c r="B18">
        <v>2019</v>
      </c>
      <c r="C18">
        <v>4.28</v>
      </c>
      <c r="D18">
        <v>0.40899999999999997</v>
      </c>
      <c r="E18">
        <v>101</v>
      </c>
      <c r="F18">
        <v>0.38700000000000001</v>
      </c>
      <c r="G18">
        <f>(101/219)*100</f>
        <v>46.118721461187214</v>
      </c>
      <c r="H18">
        <f>(312/682)*100</f>
        <v>45.747800586510259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44B-801B-4DE8-AD35-88A661C45641}">
  <dimension ref="A1:H18"/>
  <sheetViews>
    <sheetView topLeftCell="A14" zoomScale="67" workbookViewId="0">
      <selection activeCell="H1" activeCellId="1" sqref="B1:B1048576 H1:H1048576"/>
    </sheetView>
  </sheetViews>
  <sheetFormatPr defaultRowHeight="14.5" x14ac:dyDescent="0.35"/>
  <cols>
    <col min="1" max="1" width="14.72656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11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12</v>
      </c>
      <c r="B2">
        <v>2003</v>
      </c>
      <c r="C2">
        <v>3.54</v>
      </c>
      <c r="D2">
        <v>0.375</v>
      </c>
      <c r="E2">
        <v>69</v>
      </c>
      <c r="F2">
        <v>0.39800000000000002</v>
      </c>
      <c r="G2">
        <f>(69/139)*100</f>
        <v>49.640287769784173</v>
      </c>
      <c r="H2">
        <f>(394/795)*100</f>
        <v>49.559748427672957</v>
      </c>
    </row>
    <row r="3" spans="1:8" x14ac:dyDescent="0.35">
      <c r="A3" s="1"/>
      <c r="B3">
        <v>2004</v>
      </c>
      <c r="C3">
        <v>4.3</v>
      </c>
      <c r="D3">
        <v>0.42599999999999999</v>
      </c>
      <c r="E3">
        <v>71</v>
      </c>
      <c r="F3">
        <v>0.38500000000000001</v>
      </c>
      <c r="G3">
        <f>(71/136)*100</f>
        <v>52.205882352941181</v>
      </c>
      <c r="H3">
        <f>(313/698)*100</f>
        <v>44.842406876790832</v>
      </c>
    </row>
    <row r="4" spans="1:8" x14ac:dyDescent="0.35">
      <c r="A4" s="1"/>
      <c r="B4">
        <v>2005</v>
      </c>
      <c r="C4">
        <v>4.1500000000000004</v>
      </c>
      <c r="D4">
        <v>0.39400000000000002</v>
      </c>
      <c r="E4">
        <v>63</v>
      </c>
      <c r="F4">
        <v>0.39</v>
      </c>
      <c r="G4">
        <f>(63/130)*100</f>
        <v>48.46153846153846</v>
      </c>
      <c r="H4">
        <f>(354/699)*100</f>
        <v>50.643776824034333</v>
      </c>
    </row>
    <row r="5" spans="1:8" x14ac:dyDescent="0.35">
      <c r="A5" s="1"/>
      <c r="B5">
        <v>2006</v>
      </c>
      <c r="C5">
        <v>4.26</v>
      </c>
      <c r="D5">
        <v>0.41</v>
      </c>
      <c r="E5">
        <v>81</v>
      </c>
      <c r="F5">
        <v>0.41599999999999998</v>
      </c>
      <c r="G5">
        <f>(81/172)*100</f>
        <v>47.093023255813954</v>
      </c>
      <c r="H5">
        <f>(353/756)*100</f>
        <v>46.693121693121689</v>
      </c>
    </row>
    <row r="6" spans="1:8" x14ac:dyDescent="0.35">
      <c r="A6" s="1"/>
      <c r="B6">
        <v>2007</v>
      </c>
      <c r="C6">
        <v>4.57</v>
      </c>
      <c r="D6">
        <v>0.41899999999999998</v>
      </c>
      <c r="E6">
        <v>77</v>
      </c>
      <c r="F6">
        <v>0.41799999999999998</v>
      </c>
      <c r="G6">
        <f>(77/153)*100</f>
        <v>50.326797385620914</v>
      </c>
      <c r="H6">
        <f>(386/794)*100</f>
        <v>48.614609571788414</v>
      </c>
    </row>
    <row r="7" spans="1:8" x14ac:dyDescent="0.35">
      <c r="A7" s="1"/>
      <c r="B7">
        <v>2008</v>
      </c>
      <c r="C7">
        <v>4.4000000000000004</v>
      </c>
      <c r="D7">
        <v>0.40899999999999997</v>
      </c>
      <c r="E7">
        <v>59</v>
      </c>
      <c r="F7">
        <v>0.39800000000000002</v>
      </c>
      <c r="G7">
        <f>(59/124)*100</f>
        <v>47.580645161290327</v>
      </c>
      <c r="H7">
        <f>(337/671)*100</f>
        <v>50.22354694485842</v>
      </c>
    </row>
    <row r="8" spans="1:8" x14ac:dyDescent="0.35">
      <c r="B8">
        <v>2009</v>
      </c>
      <c r="C8">
        <v>3.62</v>
      </c>
      <c r="D8">
        <v>0.376</v>
      </c>
      <c r="E8">
        <v>76</v>
      </c>
      <c r="F8">
        <v>0.39500000000000002</v>
      </c>
      <c r="G8">
        <f>(76/160)*100</f>
        <v>47.5</v>
      </c>
      <c r="H8">
        <f>(313/640)*100</f>
        <v>48.90625</v>
      </c>
    </row>
    <row r="9" spans="1:8" x14ac:dyDescent="0.35">
      <c r="B9">
        <v>2010</v>
      </c>
      <c r="C9">
        <v>2.96</v>
      </c>
      <c r="D9">
        <v>0.33800000000000002</v>
      </c>
      <c r="E9">
        <v>35</v>
      </c>
      <c r="F9">
        <v>0.32200000000000001</v>
      </c>
      <c r="G9">
        <f>(76/160)*100</f>
        <v>47.5</v>
      </c>
      <c r="H9">
        <f>(313/640)*100</f>
        <v>48.90625</v>
      </c>
    </row>
    <row r="10" spans="1:8" x14ac:dyDescent="0.35">
      <c r="B10">
        <v>2011</v>
      </c>
      <c r="C10">
        <v>3.69</v>
      </c>
      <c r="D10">
        <v>0.36899999999999999</v>
      </c>
      <c r="E10">
        <v>57</v>
      </c>
      <c r="F10">
        <v>0.33300000000000002</v>
      </c>
      <c r="G10">
        <f>(57/109)*100</f>
        <v>52.293577981651374</v>
      </c>
      <c r="H10">
        <f>(265/556)*100</f>
        <v>47.661870503597122</v>
      </c>
    </row>
    <row r="11" spans="1:8" x14ac:dyDescent="0.35">
      <c r="B11" s="1">
        <v>2012</v>
      </c>
      <c r="C11">
        <v>2.96</v>
      </c>
      <c r="D11">
        <v>0.33800000000000002</v>
      </c>
      <c r="E11">
        <v>56</v>
      </c>
      <c r="F11">
        <v>0.33100000000000002</v>
      </c>
      <c r="G11">
        <f>(56/149)*100</f>
        <v>37.583892617449663</v>
      </c>
      <c r="H11">
        <f>(257/619)*100</f>
        <v>41.518578352180938</v>
      </c>
    </row>
    <row r="12" spans="1:8" x14ac:dyDescent="0.35">
      <c r="B12">
        <v>2013</v>
      </c>
      <c r="C12">
        <v>4.17</v>
      </c>
      <c r="D12">
        <v>0.40300000000000002</v>
      </c>
      <c r="E12">
        <v>88</v>
      </c>
      <c r="F12">
        <v>0.38700000000000001</v>
      </c>
      <c r="G12">
        <f>(88/188)*100</f>
        <v>46.808510638297875</v>
      </c>
      <c r="H12">
        <f>(310/624)*100</f>
        <v>49.679487179487182</v>
      </c>
    </row>
    <row r="13" spans="1:8" x14ac:dyDescent="0.35">
      <c r="B13">
        <v>2014</v>
      </c>
      <c r="C13">
        <v>2.93</v>
      </c>
      <c r="D13">
        <v>0.33600000000000002</v>
      </c>
      <c r="E13">
        <v>73</v>
      </c>
      <c r="F13">
        <v>0.29399999999999998</v>
      </c>
      <c r="G13">
        <f>(73/136)*100</f>
        <v>53.67647058823529</v>
      </c>
      <c r="H13">
        <f>(281/634)*100</f>
        <v>44.321766561514195</v>
      </c>
    </row>
    <row r="14" spans="1:8" x14ac:dyDescent="0.35">
      <c r="B14">
        <v>2015</v>
      </c>
      <c r="C14">
        <v>3.72</v>
      </c>
      <c r="D14">
        <v>0.38600000000000001</v>
      </c>
      <c r="E14">
        <v>90</v>
      </c>
      <c r="F14">
        <v>0.40200000000000002</v>
      </c>
      <c r="G14">
        <f>(90/198)*100</f>
        <v>45.454545454545453</v>
      </c>
      <c r="H14">
        <f>(310/656)*100</f>
        <v>47.256097560975604</v>
      </c>
    </row>
    <row r="15" spans="1:8" x14ac:dyDescent="0.35">
      <c r="B15">
        <v>2016</v>
      </c>
      <c r="C15">
        <v>3.81</v>
      </c>
      <c r="D15">
        <v>0.42499999999999999</v>
      </c>
      <c r="E15">
        <v>116</v>
      </c>
      <c r="F15">
        <v>0.43099999999999999</v>
      </c>
      <c r="G15">
        <f>(116/223)*100</f>
        <v>52.017937219730939</v>
      </c>
      <c r="H15">
        <f>(370/768)*100</f>
        <v>48.177083333333329</v>
      </c>
    </row>
    <row r="16" spans="1:8" x14ac:dyDescent="0.35">
      <c r="B16">
        <v>2017</v>
      </c>
      <c r="C16">
        <v>4</v>
      </c>
      <c r="D16">
        <v>0.40799999999999997</v>
      </c>
      <c r="E16">
        <v>97</v>
      </c>
      <c r="F16">
        <v>0.42699999999999999</v>
      </c>
      <c r="G16">
        <f>(97/200)*100</f>
        <v>48.5</v>
      </c>
      <c r="H16">
        <f>(370/750)*100</f>
        <v>49.333333333333336</v>
      </c>
    </row>
    <row r="17" spans="2:8" x14ac:dyDescent="0.35">
      <c r="B17">
        <v>2018</v>
      </c>
      <c r="C17">
        <v>3.7</v>
      </c>
      <c r="D17">
        <v>0.40300000000000002</v>
      </c>
      <c r="E17">
        <v>84</v>
      </c>
      <c r="F17">
        <v>0.39200000000000002</v>
      </c>
      <c r="G17">
        <f>(84/176)*100</f>
        <v>47.727272727272727</v>
      </c>
      <c r="H17">
        <f>(299/677)*100</f>
        <v>44.165435745937963</v>
      </c>
    </row>
    <row r="18" spans="2:8" x14ac:dyDescent="0.35">
      <c r="B18">
        <v>2019</v>
      </c>
      <c r="C18">
        <v>4.7</v>
      </c>
      <c r="D18">
        <v>0.45</v>
      </c>
      <c r="E18">
        <v>107</v>
      </c>
      <c r="F18">
        <v>0.40600000000000003</v>
      </c>
      <c r="G18">
        <f>(107/239)*100</f>
        <v>44.769874476987447</v>
      </c>
      <c r="H18">
        <f>(367/758)*100</f>
        <v>48.416886543535618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519B-9C0B-4061-8057-F93E81D92D86}">
  <dimension ref="A1:H17"/>
  <sheetViews>
    <sheetView topLeftCell="A17" zoomScale="85" workbookViewId="0">
      <selection activeCell="S44" sqref="S44"/>
    </sheetView>
  </sheetViews>
  <sheetFormatPr defaultRowHeight="14.5" x14ac:dyDescent="0.35"/>
  <cols>
    <col min="1" max="1" width="15.4531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13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s="2" t="s">
        <v>14</v>
      </c>
      <c r="B2">
        <v>2004</v>
      </c>
      <c r="C2">
        <v>3.59</v>
      </c>
      <c r="D2">
        <v>0.39800000000000002</v>
      </c>
      <c r="E2">
        <v>92</v>
      </c>
      <c r="F2">
        <v>0.434</v>
      </c>
      <c r="G2">
        <f>(92/178)*100</f>
        <v>51.68539325842697</v>
      </c>
      <c r="H2">
        <f>(397/803)*100</f>
        <v>49.439601494396015</v>
      </c>
    </row>
    <row r="3" spans="1:8" x14ac:dyDescent="0.35">
      <c r="A3" t="s">
        <v>15</v>
      </c>
      <c r="B3">
        <v>2005</v>
      </c>
      <c r="C3">
        <v>3.82</v>
      </c>
      <c r="D3">
        <v>0.39</v>
      </c>
      <c r="E3">
        <v>89</v>
      </c>
      <c r="F3">
        <v>0.46200000000000002</v>
      </c>
      <c r="G3">
        <f>(89/184)*100</f>
        <v>48.369565217391305</v>
      </c>
      <c r="H3">
        <f>(422/769)*100</f>
        <v>54.876462938881666</v>
      </c>
    </row>
    <row r="4" spans="1:8" x14ac:dyDescent="0.35">
      <c r="A4" s="1"/>
      <c r="B4">
        <v>2006</v>
      </c>
      <c r="C4">
        <v>4.33</v>
      </c>
      <c r="D4">
        <v>0.433</v>
      </c>
      <c r="E4">
        <v>100</v>
      </c>
      <c r="F4">
        <v>0.45700000000000002</v>
      </c>
      <c r="G4">
        <f>(100/222)*100</f>
        <v>45.045045045045043</v>
      </c>
      <c r="H4">
        <f>(414/849)*100</f>
        <v>48.763250883392232</v>
      </c>
    </row>
    <row r="5" spans="1:8" x14ac:dyDescent="0.35">
      <c r="A5" s="1"/>
      <c r="B5">
        <v>2007</v>
      </c>
      <c r="C5">
        <v>3.96</v>
      </c>
      <c r="D5">
        <v>0.40699999999999997</v>
      </c>
      <c r="E5">
        <v>82</v>
      </c>
      <c r="F5">
        <v>0.41599999999999998</v>
      </c>
      <c r="G5">
        <f>(82/176)*100</f>
        <v>46.590909090909086</v>
      </c>
      <c r="H5">
        <f>(377/810)*100</f>
        <v>46.543209876543216</v>
      </c>
    </row>
    <row r="6" spans="1:8" x14ac:dyDescent="0.35">
      <c r="A6" s="1"/>
      <c r="B6">
        <v>2008</v>
      </c>
      <c r="C6">
        <v>4.4400000000000004</v>
      </c>
      <c r="D6">
        <v>0.42599999999999999</v>
      </c>
      <c r="E6">
        <v>62</v>
      </c>
      <c r="F6">
        <v>0.41099999999999998</v>
      </c>
      <c r="G6">
        <f>(62/130)*100</f>
        <v>47.692307692307693</v>
      </c>
      <c r="H6">
        <f>(384/753)*100</f>
        <v>50.996015936254977</v>
      </c>
    </row>
    <row r="7" spans="1:8" x14ac:dyDescent="0.35">
      <c r="A7" s="1"/>
      <c r="B7">
        <v>2009</v>
      </c>
      <c r="C7">
        <v>3.43</v>
      </c>
      <c r="D7">
        <v>0.37</v>
      </c>
      <c r="E7">
        <v>69</v>
      </c>
      <c r="F7">
        <v>0.39200000000000002</v>
      </c>
      <c r="G7">
        <f>(69/149)*100</f>
        <v>46.308724832214764</v>
      </c>
      <c r="H7">
        <f>(332/735)*100</f>
        <v>45.170068027210888</v>
      </c>
    </row>
    <row r="8" spans="1:8" x14ac:dyDescent="0.35">
      <c r="A8" s="1"/>
      <c r="B8">
        <v>2010</v>
      </c>
      <c r="C8">
        <v>3.18</v>
      </c>
      <c r="D8">
        <v>0.35499999999999998</v>
      </c>
      <c r="E8">
        <v>74</v>
      </c>
      <c r="F8">
        <v>0.42299999999999999</v>
      </c>
      <c r="G8">
        <f>(74/139)*100</f>
        <v>53.237410071942449</v>
      </c>
      <c r="H8">
        <f>(391/738)*100</f>
        <v>52.981029810298111</v>
      </c>
    </row>
    <row r="9" spans="1:8" x14ac:dyDescent="0.35">
      <c r="A9" s="1"/>
      <c r="B9">
        <v>2011</v>
      </c>
      <c r="C9">
        <v>3.13</v>
      </c>
      <c r="D9">
        <v>0.33500000000000002</v>
      </c>
      <c r="E9">
        <v>90</v>
      </c>
      <c r="F9">
        <v>0.40600000000000003</v>
      </c>
      <c r="G9">
        <f>(90/173)*100</f>
        <v>52.023121387283233</v>
      </c>
      <c r="H9">
        <f>(325/641)*100</f>
        <v>50.702028081123238</v>
      </c>
    </row>
    <row r="10" spans="1:8" x14ac:dyDescent="0.35">
      <c r="A10" s="1"/>
      <c r="B10">
        <v>2012</v>
      </c>
      <c r="C10">
        <v>3.39</v>
      </c>
      <c r="D10">
        <v>0.373</v>
      </c>
      <c r="E10">
        <v>70</v>
      </c>
      <c r="F10">
        <v>0.39600000000000002</v>
      </c>
      <c r="G10">
        <f>(70/149)*100</f>
        <v>46.979865771812079</v>
      </c>
      <c r="H10">
        <f>(351/700)*100</f>
        <v>50.142857142857146</v>
      </c>
    </row>
    <row r="11" spans="1:8" x14ac:dyDescent="0.35">
      <c r="A11" s="1"/>
      <c r="B11">
        <v>2013</v>
      </c>
      <c r="C11">
        <v>2.7</v>
      </c>
      <c r="D11">
        <v>0.34699999999999998</v>
      </c>
      <c r="E11">
        <v>90</v>
      </c>
      <c r="F11">
        <v>0.41899999999999998</v>
      </c>
      <c r="G11">
        <f>(90/181)*100</f>
        <v>49.723756906077348</v>
      </c>
      <c r="H11">
        <f>(364/688)*100</f>
        <v>52.906976744186053</v>
      </c>
    </row>
    <row r="12" spans="1:8" x14ac:dyDescent="0.35">
      <c r="A12" s="2"/>
      <c r="B12">
        <v>2014</v>
      </c>
      <c r="C12">
        <v>3.13</v>
      </c>
      <c r="D12">
        <v>0.36299999999999999</v>
      </c>
      <c r="E12">
        <v>62</v>
      </c>
      <c r="F12">
        <v>0.35799999999999998</v>
      </c>
      <c r="G12">
        <f>(62/123)*100</f>
        <v>50.40650406504065</v>
      </c>
      <c r="H12">
        <f>(280/573)*100</f>
        <v>48.865619546247821</v>
      </c>
    </row>
    <row r="13" spans="1:8" x14ac:dyDescent="0.35">
      <c r="B13">
        <v>2015</v>
      </c>
      <c r="C13">
        <v>3.91</v>
      </c>
      <c r="D13">
        <v>0.378</v>
      </c>
      <c r="E13">
        <v>48</v>
      </c>
      <c r="F13">
        <v>0.35899999999999999</v>
      </c>
      <c r="G13">
        <f>(48/100)*100</f>
        <v>48</v>
      </c>
      <c r="H13">
        <f>(286/573)*100</f>
        <v>49.912739965095987</v>
      </c>
    </row>
    <row r="14" spans="1:8" x14ac:dyDescent="0.35">
      <c r="B14">
        <v>2016</v>
      </c>
      <c r="C14">
        <v>4.3899999999999997</v>
      </c>
      <c r="D14">
        <v>0.39400000000000002</v>
      </c>
      <c r="E14">
        <v>52</v>
      </c>
      <c r="F14">
        <v>0.377</v>
      </c>
      <c r="G14">
        <f>(52/122)*100</f>
        <v>42.622950819672127</v>
      </c>
      <c r="H14">
        <f>(335/649)*100</f>
        <v>51.617873651771959</v>
      </c>
    </row>
    <row r="15" spans="1:8" x14ac:dyDescent="0.35">
      <c r="B15" s="1">
        <v>2017</v>
      </c>
      <c r="C15">
        <v>4.82</v>
      </c>
      <c r="D15">
        <v>0.442</v>
      </c>
      <c r="E15">
        <v>77</v>
      </c>
      <c r="F15">
        <v>0.40500000000000003</v>
      </c>
      <c r="G15">
        <f>(77/165)*100</f>
        <v>46.666666666666664</v>
      </c>
      <c r="H15">
        <f>(346/732)*100</f>
        <v>47.267759562841533</v>
      </c>
    </row>
    <row r="16" spans="1:8" x14ac:dyDescent="0.35">
      <c r="B16" s="2">
        <v>2018</v>
      </c>
      <c r="C16">
        <v>3.92</v>
      </c>
      <c r="D16">
        <v>0.36299999999999999</v>
      </c>
      <c r="E16">
        <v>78</v>
      </c>
      <c r="F16">
        <v>0.40400000000000003</v>
      </c>
      <c r="G16">
        <f>(78/175)*100</f>
        <v>44.571428571428569</v>
      </c>
      <c r="H16">
        <f>(391/759)*100</f>
        <v>51.515151515151516</v>
      </c>
    </row>
    <row r="17" spans="2:8" x14ac:dyDescent="0.35">
      <c r="B17">
        <v>2019</v>
      </c>
      <c r="C17">
        <v>4.0599999999999996</v>
      </c>
      <c r="D17">
        <v>0.41799999999999998</v>
      </c>
      <c r="E17">
        <v>131</v>
      </c>
      <c r="F17">
        <v>0.47199999999999998</v>
      </c>
      <c r="G17">
        <f>(131/249)*100</f>
        <v>52.610441767068274</v>
      </c>
      <c r="H17">
        <f>(433/855)*100</f>
        <v>50.643274853801167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5949-B3EC-43F5-92CF-1DB7392694E5}">
  <dimension ref="A1:H21"/>
  <sheetViews>
    <sheetView topLeftCell="A29" zoomScale="72" workbookViewId="0">
      <selection activeCell="R38" sqref="R38"/>
    </sheetView>
  </sheetViews>
  <sheetFormatPr defaultRowHeight="14.5" x14ac:dyDescent="0.35"/>
  <cols>
    <col min="1" max="1" width="16.269531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16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17</v>
      </c>
      <c r="B2">
        <v>2000</v>
      </c>
      <c r="C2">
        <v>5.18</v>
      </c>
      <c r="D2">
        <v>0.46899999999999997</v>
      </c>
      <c r="E2">
        <v>54</v>
      </c>
      <c r="F2">
        <v>0.42399999999999999</v>
      </c>
      <c r="G2">
        <f>(54/(54+62))*100</f>
        <v>46.551724137931032</v>
      </c>
      <c r="H2">
        <f>(411/(337+411))*100</f>
        <v>54.946524064171122</v>
      </c>
    </row>
    <row r="3" spans="1:8" x14ac:dyDescent="0.35">
      <c r="A3" t="s">
        <v>18</v>
      </c>
      <c r="B3">
        <v>2001</v>
      </c>
      <c r="C3">
        <v>4.47</v>
      </c>
      <c r="D3">
        <v>0.436</v>
      </c>
      <c r="E3">
        <v>76</v>
      </c>
      <c r="F3">
        <v>0.434</v>
      </c>
      <c r="G3">
        <f>(76/(76+88))*100</f>
        <v>46.341463414634148</v>
      </c>
      <c r="H3">
        <f>(393/(378+393))*100</f>
        <v>50.972762645914393</v>
      </c>
    </row>
    <row r="4" spans="1:8" x14ac:dyDescent="0.35">
      <c r="A4" s="1"/>
      <c r="B4">
        <v>2002</v>
      </c>
      <c r="C4">
        <v>3.76</v>
      </c>
      <c r="D4">
        <v>0.40300000000000002</v>
      </c>
      <c r="E4">
        <v>68</v>
      </c>
      <c r="F4">
        <v>0.439</v>
      </c>
      <c r="G4">
        <f>(68/(68+99))*100</f>
        <v>40.718562874251496</v>
      </c>
      <c r="H4">
        <f>(396/(373+396))*100</f>
        <v>51.495448634590382</v>
      </c>
    </row>
    <row r="5" spans="1:8" x14ac:dyDescent="0.35">
      <c r="B5">
        <v>2003</v>
      </c>
      <c r="C5">
        <v>4.5</v>
      </c>
      <c r="D5">
        <v>0.43</v>
      </c>
      <c r="E5">
        <v>76</v>
      </c>
      <c r="F5">
        <v>0.435</v>
      </c>
      <c r="G5">
        <f>(76/(76+79))*100</f>
        <v>49.032258064516128</v>
      </c>
      <c r="H5">
        <f>(399/(399+402))*100</f>
        <v>49.812734082397</v>
      </c>
    </row>
    <row r="6" spans="1:8" x14ac:dyDescent="0.35">
      <c r="B6">
        <v>2004</v>
      </c>
      <c r="C6">
        <v>3.89</v>
      </c>
      <c r="D6">
        <v>0.39700000000000002</v>
      </c>
      <c r="E6">
        <v>89</v>
      </c>
      <c r="F6">
        <v>0.42899999999999999</v>
      </c>
      <c r="G6">
        <f>(89/(89+102))*100</f>
        <v>46.596858638743456</v>
      </c>
      <c r="H6">
        <f>(407/(373+407))*100</f>
        <v>52.179487179487182</v>
      </c>
    </row>
    <row r="7" spans="1:8" x14ac:dyDescent="0.35">
      <c r="A7" s="1"/>
      <c r="B7">
        <v>2005</v>
      </c>
      <c r="C7">
        <v>3.62</v>
      </c>
      <c r="D7">
        <v>0.39</v>
      </c>
      <c r="E7">
        <v>67</v>
      </c>
      <c r="F7">
        <v>0.39900000000000002</v>
      </c>
      <c r="G7">
        <f>(67/(67+67))*100</f>
        <v>50</v>
      </c>
      <c r="H7">
        <f>(348/(348+340))*100</f>
        <v>50.581395348837212</v>
      </c>
    </row>
    <row r="8" spans="1:8" x14ac:dyDescent="0.35">
      <c r="A8" s="1"/>
      <c r="B8">
        <v>2006</v>
      </c>
      <c r="C8">
        <v>3.4</v>
      </c>
      <c r="D8">
        <v>0.39200000000000002</v>
      </c>
      <c r="E8">
        <v>69</v>
      </c>
      <c r="F8">
        <v>0.439</v>
      </c>
      <c r="G8">
        <f>(69/(74+69))*100</f>
        <v>48.251748251748253</v>
      </c>
      <c r="H8">
        <f>(421/(380+421))*100</f>
        <v>52.55930087390761</v>
      </c>
    </row>
    <row r="9" spans="1:8" x14ac:dyDescent="0.35">
      <c r="B9">
        <v>2007</v>
      </c>
      <c r="C9">
        <v>3.83</v>
      </c>
      <c r="D9">
        <v>0.40300000000000002</v>
      </c>
      <c r="E9">
        <v>48</v>
      </c>
      <c r="F9">
        <v>0.376</v>
      </c>
      <c r="G9">
        <f>(90/163)*100</f>
        <v>55.214723926380373</v>
      </c>
      <c r="H9">
        <f>(318/629)*100</f>
        <v>50.556438791732901</v>
      </c>
    </row>
    <row r="10" spans="1:8" x14ac:dyDescent="0.35">
      <c r="B10">
        <v>2008</v>
      </c>
      <c r="C10">
        <v>3.27</v>
      </c>
      <c r="D10">
        <v>0.39600000000000002</v>
      </c>
      <c r="E10">
        <v>56</v>
      </c>
      <c r="F10">
        <v>0.42899999999999999</v>
      </c>
      <c r="G10">
        <f>(128/230)*100</f>
        <v>55.652173913043477</v>
      </c>
      <c r="H10">
        <f>(367/729)*100</f>
        <v>50.342935528120712</v>
      </c>
    </row>
    <row r="11" spans="1:8" x14ac:dyDescent="0.35">
      <c r="B11">
        <v>2009</v>
      </c>
      <c r="C11">
        <v>4.49</v>
      </c>
      <c r="D11">
        <v>0.42599999999999999</v>
      </c>
      <c r="E11">
        <v>96</v>
      </c>
      <c r="F11">
        <v>0.44800000000000001</v>
      </c>
      <c r="G11">
        <f>(98/198)*100</f>
        <v>49.494949494949495</v>
      </c>
      <c r="H11">
        <f>(334/724)*100</f>
        <v>46.132596685082873</v>
      </c>
    </row>
    <row r="12" spans="1:8" x14ac:dyDescent="0.35">
      <c r="B12" s="1">
        <v>2010</v>
      </c>
      <c r="C12">
        <v>3.53</v>
      </c>
      <c r="D12">
        <v>0.39700000000000002</v>
      </c>
      <c r="E12">
        <v>52</v>
      </c>
      <c r="F12">
        <v>0.42199999999999999</v>
      </c>
      <c r="G12">
        <f>(115/238)*100</f>
        <v>48.319327731092436</v>
      </c>
      <c r="H12">
        <f>(395/896)*100</f>
        <v>44.084821428571431</v>
      </c>
    </row>
    <row r="13" spans="1:8" x14ac:dyDescent="0.35">
      <c r="B13">
        <v>2011</v>
      </c>
      <c r="C13">
        <v>4.4400000000000004</v>
      </c>
      <c r="D13">
        <v>0.42199999999999999</v>
      </c>
      <c r="E13">
        <v>46</v>
      </c>
      <c r="F13">
        <v>0.35899999999999999</v>
      </c>
      <c r="G13">
        <f>(92/205)*100</f>
        <v>44.878048780487809</v>
      </c>
      <c r="H13">
        <f>(373/797)*100</f>
        <v>46.800501882057716</v>
      </c>
    </row>
    <row r="14" spans="1:8" x14ac:dyDescent="0.35">
      <c r="B14">
        <v>2012</v>
      </c>
      <c r="C14">
        <v>4.74</v>
      </c>
      <c r="D14">
        <v>0.432</v>
      </c>
      <c r="E14">
        <v>69</v>
      </c>
      <c r="F14">
        <v>0.41499999999999998</v>
      </c>
      <c r="G14">
        <f>(150/288)*100</f>
        <v>52.083333333333336</v>
      </c>
      <c r="H14">
        <f>(489/920)*100</f>
        <v>53.152173913043477</v>
      </c>
    </row>
    <row r="15" spans="1:8" x14ac:dyDescent="0.35">
      <c r="B15">
        <v>2013</v>
      </c>
      <c r="C15">
        <v>4.54</v>
      </c>
      <c r="D15">
        <v>0.42499999999999999</v>
      </c>
      <c r="E15">
        <v>68</v>
      </c>
      <c r="F15">
        <v>0.38100000000000001</v>
      </c>
      <c r="G15">
        <f>(33/69)*100</f>
        <v>47.826086956521742</v>
      </c>
      <c r="H15">
        <f>(140/279)*100</f>
        <v>50.179211469534046</v>
      </c>
    </row>
    <row r="16" spans="1:8" x14ac:dyDescent="0.35">
      <c r="B16">
        <v>2014</v>
      </c>
      <c r="C16">
        <v>4.71</v>
      </c>
      <c r="D16">
        <v>0.43099999999999999</v>
      </c>
      <c r="E16">
        <v>67</v>
      </c>
      <c r="F16">
        <v>0.40200000000000002</v>
      </c>
      <c r="G16">
        <f>(67/128)*100</f>
        <v>52.34375</v>
      </c>
      <c r="H16">
        <f>(368/715)*100</f>
        <v>51.468531468531467</v>
      </c>
    </row>
    <row r="17" spans="2:8" x14ac:dyDescent="0.35">
      <c r="B17">
        <v>2015</v>
      </c>
      <c r="C17">
        <v>3.66</v>
      </c>
      <c r="D17">
        <v>0.40300000000000002</v>
      </c>
      <c r="E17">
        <v>85</v>
      </c>
      <c r="F17">
        <v>0.42399999999999999</v>
      </c>
      <c r="G17">
        <f>85/156*100</f>
        <v>54.487179487179482</v>
      </c>
      <c r="H17">
        <f>373/696*100</f>
        <v>53.59195402298851</v>
      </c>
    </row>
    <row r="18" spans="2:8" x14ac:dyDescent="0.35">
      <c r="B18">
        <v>2016</v>
      </c>
      <c r="C18">
        <v>5.12</v>
      </c>
      <c r="D18">
        <v>0.47</v>
      </c>
      <c r="E18">
        <v>98</v>
      </c>
      <c r="F18">
        <v>0.42399999999999999</v>
      </c>
      <c r="G18">
        <f>98/200*100</f>
        <v>49</v>
      </c>
      <c r="H18">
        <f>348/722*100</f>
        <v>48.199445983379505</v>
      </c>
    </row>
    <row r="19" spans="2:8" x14ac:dyDescent="0.35">
      <c r="B19">
        <v>2017</v>
      </c>
      <c r="C19">
        <v>4.75</v>
      </c>
      <c r="D19">
        <v>0.45700000000000002</v>
      </c>
      <c r="E19">
        <v>110</v>
      </c>
      <c r="F19">
        <v>0.45700000000000002</v>
      </c>
      <c r="G19">
        <f>110/206*100</f>
        <v>53.398058252427184</v>
      </c>
      <c r="H19">
        <f>420/815*100</f>
        <v>51.533742331288344</v>
      </c>
    </row>
    <row r="20" spans="2:8" x14ac:dyDescent="0.35">
      <c r="B20">
        <v>2018</v>
      </c>
      <c r="C20">
        <v>4.2</v>
      </c>
      <c r="D20">
        <v>0.40400000000000003</v>
      </c>
      <c r="E20">
        <v>86</v>
      </c>
      <c r="F20">
        <v>0.42899999999999999</v>
      </c>
      <c r="G20">
        <f>86/166*100</f>
        <v>51.807228915662648</v>
      </c>
      <c r="H20">
        <f>397/738*100</f>
        <v>53.794037940379404</v>
      </c>
    </row>
    <row r="21" spans="2:8" x14ac:dyDescent="0.35">
      <c r="B21">
        <v>2019</v>
      </c>
      <c r="C21">
        <v>4.32</v>
      </c>
      <c r="D21">
        <v>0.42299999999999999</v>
      </c>
      <c r="E21">
        <v>137</v>
      </c>
      <c r="F21">
        <v>0.47899999999999998</v>
      </c>
      <c r="G21">
        <f>137/307*100</f>
        <v>44.625407166123779</v>
      </c>
      <c r="H21">
        <f>442/939*100</f>
        <v>47.071352502662407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D602-7314-49D1-A9F1-64587D5FDA92}">
  <dimension ref="A1:H21"/>
  <sheetViews>
    <sheetView zoomScale="90" workbookViewId="0">
      <selection activeCell="T37" sqref="T37"/>
    </sheetView>
  </sheetViews>
  <sheetFormatPr defaultRowHeight="14.5" x14ac:dyDescent="0.35"/>
  <cols>
    <col min="1" max="1" width="13.6328125" bestFit="1" customWidth="1"/>
    <col min="3" max="3" width="9.54296875" bestFit="1" customWidth="1"/>
    <col min="4" max="4" width="26.269531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22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23</v>
      </c>
      <c r="B2">
        <v>2000</v>
      </c>
      <c r="C2">
        <v>3.54</v>
      </c>
      <c r="D2">
        <v>0.37</v>
      </c>
      <c r="E2">
        <v>93</v>
      </c>
      <c r="F2">
        <v>0.42799999999999999</v>
      </c>
      <c r="G2">
        <f>93/198*100</f>
        <v>46.969696969696969</v>
      </c>
      <c r="H2">
        <f>392/807*100</f>
        <v>48.574969021065669</v>
      </c>
    </row>
    <row r="3" spans="1:8" x14ac:dyDescent="0.35">
      <c r="A3" t="s">
        <v>24</v>
      </c>
      <c r="B3">
        <v>2001</v>
      </c>
      <c r="C3">
        <v>3.72</v>
      </c>
      <c r="D3">
        <v>0.40200000000000002</v>
      </c>
      <c r="E3">
        <v>65</v>
      </c>
      <c r="F3">
        <v>0.371</v>
      </c>
      <c r="G3">
        <f>65/147*100</f>
        <v>44.217687074829932</v>
      </c>
      <c r="H3">
        <f>297/642*100</f>
        <v>46.261682242990652</v>
      </c>
    </row>
    <row r="4" spans="1:8" x14ac:dyDescent="0.35">
      <c r="B4">
        <v>2002</v>
      </c>
      <c r="C4">
        <v>3.62</v>
      </c>
      <c r="D4">
        <v>0.38900000000000001</v>
      </c>
      <c r="E4">
        <v>81</v>
      </c>
      <c r="F4">
        <v>0.38600000000000001</v>
      </c>
      <c r="G4">
        <f>81/160*100</f>
        <v>50.625</v>
      </c>
      <c r="H4">
        <f>321/(321+369)*100</f>
        <v>46.521739130434781</v>
      </c>
    </row>
    <row r="5" spans="1:8" x14ac:dyDescent="0.35">
      <c r="B5">
        <v>2003</v>
      </c>
      <c r="C5">
        <v>4.3099999999999996</v>
      </c>
      <c r="D5">
        <v>0.42599999999999999</v>
      </c>
      <c r="E5">
        <v>54</v>
      </c>
      <c r="F5">
        <v>0.374</v>
      </c>
      <c r="G5">
        <f>54/124*100</f>
        <v>43.548387096774192</v>
      </c>
      <c r="H5">
        <f>306/642*100</f>
        <v>47.663551401869157</v>
      </c>
    </row>
    <row r="6" spans="1:8" x14ac:dyDescent="0.35">
      <c r="B6">
        <v>2004</v>
      </c>
      <c r="C6">
        <v>3.73</v>
      </c>
      <c r="D6">
        <v>0.38400000000000001</v>
      </c>
      <c r="E6">
        <v>85</v>
      </c>
      <c r="F6">
        <v>0.40600000000000003</v>
      </c>
      <c r="G6">
        <f>85/185*100</f>
        <v>45.945945945945951</v>
      </c>
      <c r="H6">
        <f>342/684*100</f>
        <v>50</v>
      </c>
    </row>
    <row r="7" spans="1:8" x14ac:dyDescent="0.35">
      <c r="B7">
        <v>2005</v>
      </c>
      <c r="C7">
        <v>3.45</v>
      </c>
      <c r="D7">
        <v>0.377</v>
      </c>
      <c r="E7">
        <v>83</v>
      </c>
      <c r="F7">
        <v>0.41099999999999998</v>
      </c>
      <c r="G7">
        <f>83/175*100</f>
        <v>47.428571428571431</v>
      </c>
      <c r="H7">
        <f>363/722*100</f>
        <v>50.277008310249307</v>
      </c>
    </row>
    <row r="8" spans="1:8" x14ac:dyDescent="0.35">
      <c r="B8">
        <v>2006</v>
      </c>
      <c r="C8">
        <v>3.76</v>
      </c>
      <c r="D8">
        <v>0.38800000000000001</v>
      </c>
      <c r="E8">
        <v>96</v>
      </c>
      <c r="F8">
        <v>0.434</v>
      </c>
      <c r="G8">
        <f>96/200*100</f>
        <v>48</v>
      </c>
      <c r="H8">
        <f>395/834*100</f>
        <v>47.362110311750598</v>
      </c>
    </row>
    <row r="9" spans="1:8" x14ac:dyDescent="0.35">
      <c r="B9">
        <v>2007</v>
      </c>
      <c r="C9">
        <v>4.2</v>
      </c>
      <c r="D9">
        <v>0.39300000000000002</v>
      </c>
      <c r="E9">
        <v>83</v>
      </c>
      <c r="F9">
        <v>0.42499999999999999</v>
      </c>
      <c r="G9">
        <f>83/177*100</f>
        <v>46.89265536723164</v>
      </c>
      <c r="H9">
        <f>367/804*100</f>
        <v>45.646766169154226</v>
      </c>
    </row>
    <row r="10" spans="1:8" x14ac:dyDescent="0.35">
      <c r="B10">
        <v>2008</v>
      </c>
      <c r="C10">
        <v>3.78</v>
      </c>
      <c r="D10">
        <v>0.36899999999999999</v>
      </c>
      <c r="E10">
        <v>95</v>
      </c>
      <c r="F10">
        <v>0.43</v>
      </c>
      <c r="G10">
        <f>95/172*100</f>
        <v>55.232558139534881</v>
      </c>
      <c r="H10">
        <f>388/799*100</f>
        <v>48.560700876095119</v>
      </c>
    </row>
    <row r="11" spans="1:8" x14ac:dyDescent="0.35">
      <c r="B11">
        <v>2009</v>
      </c>
      <c r="C11">
        <v>3.98</v>
      </c>
      <c r="D11">
        <v>0.39600000000000002</v>
      </c>
      <c r="E11">
        <v>49</v>
      </c>
      <c r="F11">
        <v>0.40799999999999997</v>
      </c>
      <c r="G11">
        <f>49/95*100</f>
        <v>51.578947368421055</v>
      </c>
      <c r="H11">
        <f>343/671*100</f>
        <v>51.117734724292099</v>
      </c>
    </row>
    <row r="12" spans="1:8" x14ac:dyDescent="0.35">
      <c r="B12">
        <v>2010</v>
      </c>
      <c r="C12">
        <v>3.07</v>
      </c>
      <c r="D12">
        <v>0.35</v>
      </c>
      <c r="E12">
        <v>63</v>
      </c>
      <c r="F12">
        <v>0.39300000000000002</v>
      </c>
      <c r="G12">
        <f>63/128*100</f>
        <v>49.21875</v>
      </c>
      <c r="H12">
        <f>334/656*100</f>
        <v>50.914634146341463</v>
      </c>
    </row>
    <row r="13" spans="1:8" x14ac:dyDescent="0.35">
      <c r="B13">
        <v>2011</v>
      </c>
      <c r="C13">
        <v>3.89</v>
      </c>
      <c r="D13">
        <v>0.379</v>
      </c>
      <c r="E13">
        <v>50</v>
      </c>
      <c r="F13">
        <v>0.39100000000000001</v>
      </c>
      <c r="G13">
        <f>50/108*100</f>
        <v>46.296296296296298</v>
      </c>
      <c r="H13">
        <f>328/718*100</f>
        <v>45.682451253481894</v>
      </c>
    </row>
    <row r="14" spans="1:8" x14ac:dyDescent="0.35">
      <c r="B14">
        <v>2012</v>
      </c>
      <c r="C14">
        <v>4.0199999999999996</v>
      </c>
      <c r="D14">
        <v>0.39</v>
      </c>
      <c r="E14">
        <v>67</v>
      </c>
      <c r="F14">
        <v>0.37</v>
      </c>
      <c r="G14">
        <f>67/139*100</f>
        <v>48.201438848920866</v>
      </c>
      <c r="H14">
        <f>287/650*100</f>
        <v>44.153846153846153</v>
      </c>
    </row>
    <row r="15" spans="1:8" x14ac:dyDescent="0.35">
      <c r="B15">
        <v>2013</v>
      </c>
      <c r="C15">
        <v>3.58</v>
      </c>
      <c r="D15">
        <v>0.38800000000000001</v>
      </c>
      <c r="E15">
        <v>59</v>
      </c>
      <c r="F15">
        <v>0.33800000000000002</v>
      </c>
      <c r="G15">
        <f>59/130*100</f>
        <v>45.384615384615387</v>
      </c>
      <c r="H15">
        <f>268/619*100</f>
        <v>43.295638126009692</v>
      </c>
    </row>
    <row r="16" spans="1:8" x14ac:dyDescent="0.35">
      <c r="B16">
        <v>2014</v>
      </c>
      <c r="C16">
        <v>3.25</v>
      </c>
      <c r="D16">
        <v>0.38100000000000001</v>
      </c>
      <c r="E16">
        <v>59</v>
      </c>
      <c r="F16">
        <v>0.34899999999999998</v>
      </c>
      <c r="G16">
        <f>59/125*100</f>
        <v>47.199999999999996</v>
      </c>
      <c r="H16">
        <f>286/629*100</f>
        <v>45.468998410174883</v>
      </c>
    </row>
    <row r="17" spans="2:8" x14ac:dyDescent="0.35">
      <c r="B17">
        <v>2015</v>
      </c>
      <c r="C17">
        <v>3.18</v>
      </c>
      <c r="D17">
        <v>0.36899999999999999</v>
      </c>
      <c r="E17">
        <v>85</v>
      </c>
      <c r="F17">
        <v>0.38900000000000001</v>
      </c>
      <c r="G17">
        <f>85/177*100</f>
        <v>48.022598870056498</v>
      </c>
      <c r="H17">
        <f>313/683*100</f>
        <v>45.827232796486086</v>
      </c>
    </row>
    <row r="18" spans="2:8" x14ac:dyDescent="0.35">
      <c r="B18">
        <v>2016</v>
      </c>
      <c r="C18">
        <v>3.41</v>
      </c>
      <c r="D18">
        <v>0.373</v>
      </c>
      <c r="E18">
        <v>112</v>
      </c>
      <c r="F18">
        <v>0.41</v>
      </c>
      <c r="G18">
        <f>112/218*100</f>
        <v>51.37614678899083</v>
      </c>
      <c r="H18">
        <f>339/671*100</f>
        <v>50.521609538002977</v>
      </c>
    </row>
    <row r="19" spans="2:8" x14ac:dyDescent="0.35">
      <c r="B19">
        <v>2017</v>
      </c>
      <c r="C19">
        <v>4.41</v>
      </c>
      <c r="D19">
        <v>0.41499999999999998</v>
      </c>
      <c r="E19">
        <v>101</v>
      </c>
      <c r="F19">
        <v>0.40899999999999997</v>
      </c>
      <c r="G19">
        <f>101/224*100</f>
        <v>45.089285714285715</v>
      </c>
      <c r="H19">
        <f>334/735*100</f>
        <v>45.442176870748305</v>
      </c>
    </row>
    <row r="20" spans="2:8" x14ac:dyDescent="0.35">
      <c r="B20">
        <v>2018</v>
      </c>
      <c r="C20">
        <v>3.54</v>
      </c>
      <c r="D20">
        <v>0.37</v>
      </c>
      <c r="E20">
        <v>75</v>
      </c>
      <c r="F20">
        <v>0.35399999999999998</v>
      </c>
      <c r="G20">
        <f>75/170*100</f>
        <v>44.117647058823529</v>
      </c>
      <c r="H20">
        <f>274/676*100</f>
        <v>40.532544378698226</v>
      </c>
    </row>
    <row r="21" spans="2:8" x14ac:dyDescent="0.35">
      <c r="B21">
        <v>2019</v>
      </c>
      <c r="C21">
        <v>3.89</v>
      </c>
      <c r="D21">
        <v>0.39600000000000002</v>
      </c>
      <c r="E21">
        <v>126</v>
      </c>
      <c r="F21">
        <v>0.44</v>
      </c>
      <c r="G21">
        <f>126/242*100</f>
        <v>52.066115702479344</v>
      </c>
      <c r="H21">
        <f>380/791*100</f>
        <v>48.040455120101136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7AF8-F29C-4ABE-ABD3-2DCFD677994B}">
  <dimension ref="A1:H16"/>
  <sheetViews>
    <sheetView topLeftCell="A21" zoomScale="82" workbookViewId="0">
      <selection activeCell="H1" activeCellId="1" sqref="B1:B1048576 H1:H1048576"/>
    </sheetView>
  </sheetViews>
  <sheetFormatPr defaultRowHeight="14.5" x14ac:dyDescent="0.35"/>
  <cols>
    <col min="1" max="1" width="19.453125" bestFit="1" customWidth="1"/>
    <col min="3" max="3" width="9.54296875" bestFit="1" customWidth="1"/>
    <col min="4" max="4" width="26.269531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25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26</v>
      </c>
      <c r="B2">
        <v>2005</v>
      </c>
      <c r="C2">
        <v>3.56</v>
      </c>
      <c r="D2">
        <v>0.371</v>
      </c>
      <c r="E2">
        <v>46</v>
      </c>
      <c r="F2">
        <v>0.36199999999999999</v>
      </c>
      <c r="G2">
        <f>46/115*100</f>
        <v>40</v>
      </c>
      <c r="H2">
        <f>289/639*100</f>
        <v>45.226917057902973</v>
      </c>
    </row>
    <row r="3" spans="1:8" x14ac:dyDescent="0.35">
      <c r="B3">
        <v>2006</v>
      </c>
      <c r="C3">
        <v>4.66</v>
      </c>
      <c r="D3">
        <v>0.42299999999999999</v>
      </c>
      <c r="E3">
        <v>74</v>
      </c>
      <c r="F3">
        <v>0.40899999999999997</v>
      </c>
      <c r="G3">
        <f>74/164*100</f>
        <v>45.121951219512198</v>
      </c>
      <c r="H3">
        <v>50</v>
      </c>
    </row>
    <row r="4" spans="1:8" x14ac:dyDescent="0.35">
      <c r="B4">
        <v>2007</v>
      </c>
      <c r="C4">
        <v>4.08</v>
      </c>
      <c r="D4">
        <v>0.40200000000000002</v>
      </c>
      <c r="E4">
        <v>48</v>
      </c>
      <c r="F4">
        <v>0.38300000000000001</v>
      </c>
      <c r="G4">
        <f>48/123*100</f>
        <v>39.024390243902438</v>
      </c>
      <c r="H4">
        <f>324/673*100</f>
        <v>48.142644873699851</v>
      </c>
    </row>
    <row r="5" spans="1:8" x14ac:dyDescent="0.35">
      <c r="B5">
        <v>2008</v>
      </c>
      <c r="C5">
        <v>4.57</v>
      </c>
      <c r="D5">
        <v>0.434</v>
      </c>
      <c r="E5">
        <v>51</v>
      </c>
      <c r="F5">
        <v>0.36799999999999999</v>
      </c>
      <c r="G5">
        <f>51/117*100</f>
        <v>43.589743589743591</v>
      </c>
      <c r="H5">
        <f>316/641*100</f>
        <v>49.297971918876755</v>
      </c>
    </row>
    <row r="6" spans="1:8" x14ac:dyDescent="0.35">
      <c r="B6">
        <v>2009</v>
      </c>
      <c r="C6">
        <v>4.6900000000000004</v>
      </c>
      <c r="D6">
        <v>0.43099999999999999</v>
      </c>
      <c r="E6">
        <v>76</v>
      </c>
      <c r="F6">
        <v>0.40799999999999997</v>
      </c>
      <c r="G6">
        <f>76/156*100</f>
        <v>48.717948717948715</v>
      </c>
      <c r="H6">
        <f>369/710*100</f>
        <v>51.971830985915489</v>
      </c>
    </row>
    <row r="7" spans="1:8" x14ac:dyDescent="0.35">
      <c r="B7">
        <v>2010</v>
      </c>
      <c r="C7">
        <v>3.97</v>
      </c>
      <c r="D7">
        <v>0.39800000000000002</v>
      </c>
      <c r="E7">
        <v>74</v>
      </c>
      <c r="F7">
        <v>0.40500000000000003</v>
      </c>
      <c r="G7">
        <f>74/149*100</f>
        <v>49.664429530201346</v>
      </c>
      <c r="H7">
        <f>327/655*100</f>
        <v>49.92366412213741</v>
      </c>
    </row>
    <row r="8" spans="1:8" x14ac:dyDescent="0.35">
      <c r="B8">
        <v>2011</v>
      </c>
      <c r="C8">
        <v>3.36</v>
      </c>
      <c r="D8">
        <v>0.379</v>
      </c>
      <c r="E8">
        <v>83</v>
      </c>
      <c r="F8">
        <v>0.40300000000000002</v>
      </c>
      <c r="G8">
        <f>83/154*100</f>
        <v>53.896103896103895</v>
      </c>
      <c r="H8">
        <f>311/624*100</f>
        <v>49.839743589743591</v>
      </c>
    </row>
    <row r="9" spans="1:8" x14ac:dyDescent="0.35">
      <c r="B9">
        <v>2012</v>
      </c>
      <c r="C9">
        <v>3.29</v>
      </c>
      <c r="D9">
        <v>0.378</v>
      </c>
      <c r="E9">
        <v>101</v>
      </c>
      <c r="F9">
        <v>0.433</v>
      </c>
      <c r="G9">
        <f>101/194*100</f>
        <v>52.0618556701031</v>
      </c>
      <c r="H9">
        <f>367/731*100</f>
        <v>50.205198358413128</v>
      </c>
    </row>
    <row r="10" spans="1:8" x14ac:dyDescent="0.35">
      <c r="B10">
        <v>2013</v>
      </c>
      <c r="C10">
        <v>3.37</v>
      </c>
      <c r="D10">
        <v>0.375</v>
      </c>
      <c r="E10">
        <v>70</v>
      </c>
      <c r="F10">
        <v>0.40600000000000003</v>
      </c>
      <c r="G10">
        <f>70/161*100</f>
        <v>43.478260869565219</v>
      </c>
      <c r="H10">
        <f>349/656*100</f>
        <v>53.201219512195117</v>
      </c>
    </row>
    <row r="11" spans="1:8" x14ac:dyDescent="0.35">
      <c r="B11">
        <v>2014</v>
      </c>
      <c r="C11">
        <v>2.87</v>
      </c>
      <c r="D11">
        <v>0.34</v>
      </c>
      <c r="E11">
        <v>63</v>
      </c>
      <c r="F11">
        <v>0.39700000000000002</v>
      </c>
      <c r="G11">
        <f>63/152*100</f>
        <v>41.44736842105263</v>
      </c>
      <c r="H11">
        <f>362/686*100</f>
        <v>52.76967930029155</v>
      </c>
    </row>
    <row r="12" spans="1:8" x14ac:dyDescent="0.35">
      <c r="B12">
        <v>2015</v>
      </c>
      <c r="C12">
        <v>3.38</v>
      </c>
      <c r="D12">
        <v>0.37</v>
      </c>
      <c r="E12">
        <v>91</v>
      </c>
      <c r="F12">
        <v>0.41499999999999998</v>
      </c>
      <c r="G12">
        <f>91/177*100</f>
        <v>51.41242937853108</v>
      </c>
      <c r="H12">
        <f>360/703*100</f>
        <v>51.209103840682793</v>
      </c>
    </row>
    <row r="13" spans="1:8" x14ac:dyDescent="0.35">
      <c r="B13">
        <v>2016</v>
      </c>
      <c r="C13">
        <v>3.42</v>
      </c>
      <c r="D13">
        <v>0.36699999999999999</v>
      </c>
      <c r="E13">
        <v>102</v>
      </c>
      <c r="F13">
        <v>0.42299999999999999</v>
      </c>
      <c r="G13">
        <f>102/203*100</f>
        <v>50.246305418719217</v>
      </c>
      <c r="H13">
        <f>365/763*100</f>
        <v>47.83748361730013</v>
      </c>
    </row>
    <row r="14" spans="1:8" x14ac:dyDescent="0.35">
      <c r="B14">
        <v>2017</v>
      </c>
      <c r="C14">
        <v>3.93</v>
      </c>
      <c r="D14">
        <v>0.4</v>
      </c>
      <c r="E14">
        <v>107</v>
      </c>
      <c r="F14">
        <v>0.47099999999999997</v>
      </c>
      <c r="G14">
        <f>107/215*100</f>
        <v>49.767441860465119</v>
      </c>
      <c r="H14">
        <f>421/819*100</f>
        <v>51.404151404151399</v>
      </c>
    </row>
    <row r="15" spans="1:8" x14ac:dyDescent="0.35">
      <c r="B15">
        <v>2018</v>
      </c>
      <c r="C15">
        <v>4.21</v>
      </c>
      <c r="D15">
        <v>0.42899999999999999</v>
      </c>
      <c r="E15">
        <v>96</v>
      </c>
      <c r="F15">
        <v>0.436</v>
      </c>
      <c r="G15">
        <f>96/191*100</f>
        <v>50.261780104712038</v>
      </c>
      <c r="H15">
        <f>409/771*100</f>
        <v>53.047989623865114</v>
      </c>
    </row>
    <row r="16" spans="1:8" x14ac:dyDescent="0.35">
      <c r="B16">
        <v>2019</v>
      </c>
      <c r="C16">
        <v>4.4400000000000004</v>
      </c>
      <c r="D16">
        <v>0.43</v>
      </c>
      <c r="E16">
        <v>130</v>
      </c>
      <c r="F16">
        <v>0.48799999999999999</v>
      </c>
      <c r="G16">
        <f>130/231*100</f>
        <v>56.277056277056282</v>
      </c>
      <c r="H16">
        <f>453/873*100</f>
        <v>51.890034364261176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9AEA-4A8F-42AF-84A6-A6B4404FDC3B}">
  <dimension ref="A1:H24"/>
  <sheetViews>
    <sheetView zoomScale="76" zoomScaleNormal="100" workbookViewId="0">
      <selection activeCell="K13" sqref="K13"/>
    </sheetView>
  </sheetViews>
  <sheetFormatPr defaultRowHeight="14.5" x14ac:dyDescent="0.35"/>
  <cols>
    <col min="1" max="1" width="19.453125" bestFit="1" customWidth="1"/>
    <col min="3" max="3" width="9.54296875" bestFit="1" customWidth="1"/>
    <col min="4" max="4" width="26.269531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27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28</v>
      </c>
      <c r="B2">
        <v>1997</v>
      </c>
      <c r="C2">
        <v>3.88</v>
      </c>
      <c r="D2">
        <v>0.38</v>
      </c>
      <c r="E2">
        <v>68</v>
      </c>
      <c r="F2">
        <v>0.40100000000000002</v>
      </c>
      <c r="G2">
        <f>68/144*100</f>
        <v>47.222222222222221</v>
      </c>
      <c r="H2">
        <f>345/689*100</f>
        <v>50.072568940493468</v>
      </c>
    </row>
    <row r="3" spans="1:8" x14ac:dyDescent="0.35">
      <c r="A3" t="s">
        <v>29</v>
      </c>
      <c r="B3">
        <v>1998</v>
      </c>
      <c r="C3">
        <v>3.98</v>
      </c>
      <c r="D3">
        <v>0.39300000000000002</v>
      </c>
      <c r="E3">
        <v>113</v>
      </c>
      <c r="F3">
        <v>0.45300000000000001</v>
      </c>
      <c r="G3">
        <f>113/223*100</f>
        <v>50.672645739910315</v>
      </c>
      <c r="H3">
        <f>432/810*100</f>
        <v>53.333333333333336</v>
      </c>
    </row>
    <row r="4" spans="1:8" x14ac:dyDescent="0.35">
      <c r="B4">
        <v>1999</v>
      </c>
      <c r="C4">
        <v>4.63</v>
      </c>
      <c r="D4">
        <v>0.41799999999999998</v>
      </c>
      <c r="E4">
        <v>104</v>
      </c>
      <c r="F4">
        <v>0.42499999999999999</v>
      </c>
      <c r="G4">
        <f>104/194*100</f>
        <v>53.608247422680414</v>
      </c>
      <c r="H4">
        <f>383/809*100</f>
        <v>47.342398022249697</v>
      </c>
    </row>
    <row r="5" spans="1:8" x14ac:dyDescent="0.35">
      <c r="B5">
        <v>2000</v>
      </c>
      <c r="C5">
        <v>4.37</v>
      </c>
      <c r="D5">
        <v>0.434</v>
      </c>
      <c r="E5">
        <v>124</v>
      </c>
      <c r="F5">
        <v>0.46300000000000002</v>
      </c>
      <c r="G5">
        <f>124/235*100</f>
        <v>52.765957446808507</v>
      </c>
      <c r="H5">
        <f>438/837*100</f>
        <v>52.32974910394266</v>
      </c>
    </row>
    <row r="6" spans="1:8" x14ac:dyDescent="0.35">
      <c r="B6">
        <v>2001</v>
      </c>
      <c r="C6">
        <v>3.43</v>
      </c>
      <c r="D6">
        <v>0.39900000000000002</v>
      </c>
      <c r="E6">
        <v>100</v>
      </c>
      <c r="F6">
        <v>0.46300000000000002</v>
      </c>
      <c r="G6">
        <f>100/199*100</f>
        <v>50.251256281407031</v>
      </c>
      <c r="H6">
        <f>443/814*100</f>
        <v>54.422604422604422</v>
      </c>
    </row>
    <row r="7" spans="1:8" x14ac:dyDescent="0.35">
      <c r="B7">
        <v>2002</v>
      </c>
      <c r="C7">
        <v>3.14</v>
      </c>
      <c r="D7">
        <v>0.36499999999999999</v>
      </c>
      <c r="E7">
        <v>88</v>
      </c>
      <c r="F7">
        <v>0.42299999999999999</v>
      </c>
      <c r="G7">
        <f>88/175*100</f>
        <v>50.285714285714292</v>
      </c>
      <c r="H7">
        <f>390/787*100</f>
        <v>49.555273189326556</v>
      </c>
    </row>
    <row r="8" spans="1:8" x14ac:dyDescent="0.35">
      <c r="B8">
        <v>2003</v>
      </c>
      <c r="C8">
        <v>4.22</v>
      </c>
      <c r="D8">
        <v>0.41699999999999998</v>
      </c>
      <c r="E8">
        <v>85</v>
      </c>
      <c r="F8">
        <v>0.45600000000000002</v>
      </c>
      <c r="G8">
        <f>85/196*100</f>
        <v>43.367346938775512</v>
      </c>
      <c r="H8">
        <f>434/876*100</f>
        <v>49.543378995433791</v>
      </c>
    </row>
    <row r="9" spans="1:8" x14ac:dyDescent="0.35">
      <c r="B9">
        <v>2004</v>
      </c>
      <c r="C9">
        <v>3.54</v>
      </c>
      <c r="D9">
        <v>0.39</v>
      </c>
      <c r="E9">
        <v>93</v>
      </c>
      <c r="F9">
        <v>0.45900000000000002</v>
      </c>
      <c r="G9">
        <f>93/214*100</f>
        <v>43.457943925233643</v>
      </c>
      <c r="H9">
        <f>414/855*100</f>
        <v>48.421052631578945</v>
      </c>
    </row>
    <row r="10" spans="1:8" x14ac:dyDescent="0.35">
      <c r="B10">
        <v>2005</v>
      </c>
      <c r="C10">
        <v>3.44</v>
      </c>
      <c r="D10">
        <v>0.39800000000000002</v>
      </c>
      <c r="E10">
        <v>92</v>
      </c>
      <c r="F10">
        <v>0.437</v>
      </c>
      <c r="G10">
        <f>92/170*100</f>
        <v>54.117647058823529</v>
      </c>
      <c r="H10">
        <f>408/805*100</f>
        <v>50.683229813664596</v>
      </c>
    </row>
    <row r="11" spans="1:8" x14ac:dyDescent="0.35">
      <c r="B11">
        <v>2006</v>
      </c>
      <c r="C11">
        <v>3.93</v>
      </c>
      <c r="D11">
        <v>0.41</v>
      </c>
      <c r="E11">
        <v>85</v>
      </c>
      <c r="F11">
        <v>0.42899999999999999</v>
      </c>
      <c r="G11">
        <f>85/184*100</f>
        <v>46.195652173913047</v>
      </c>
      <c r="H11">
        <f>399/781*100</f>
        <v>51.088348271446861</v>
      </c>
    </row>
    <row r="12" spans="1:8" x14ac:dyDescent="0.35">
      <c r="B12">
        <v>2007</v>
      </c>
      <c r="C12">
        <v>4.17</v>
      </c>
      <c r="D12">
        <v>0.40899999999999997</v>
      </c>
      <c r="E12">
        <v>62</v>
      </c>
      <c r="F12">
        <v>0.40500000000000003</v>
      </c>
      <c r="G12">
        <f>62/141*100</f>
        <v>43.971631205673759</v>
      </c>
      <c r="H12">
        <f>365/725*100</f>
        <v>50.344827586206897</v>
      </c>
    </row>
    <row r="13" spans="1:8" x14ac:dyDescent="0.35">
      <c r="B13">
        <v>2008</v>
      </c>
      <c r="C13">
        <v>4.0599999999999996</v>
      </c>
      <c r="D13">
        <v>0.41599999999999998</v>
      </c>
      <c r="E13">
        <v>79</v>
      </c>
      <c r="F13">
        <v>0.43</v>
      </c>
      <c r="G13">
        <f>79/174*100</f>
        <v>45.402298850574709</v>
      </c>
      <c r="H13">
        <f>375/779*100</f>
        <v>48.138639281129656</v>
      </c>
    </row>
    <row r="14" spans="1:8" x14ac:dyDescent="0.35">
      <c r="B14">
        <v>2009</v>
      </c>
      <c r="C14">
        <v>3.44</v>
      </c>
      <c r="D14">
        <v>0.36599999999999999</v>
      </c>
      <c r="E14">
        <v>66</v>
      </c>
      <c r="F14">
        <v>0.40400000000000003</v>
      </c>
      <c r="G14">
        <f>66/160*100</f>
        <v>41.25</v>
      </c>
      <c r="H14">
        <f>341/730*100</f>
        <v>46.712328767123289</v>
      </c>
    </row>
    <row r="15" spans="1:8" x14ac:dyDescent="0.35">
      <c r="B15">
        <v>2010</v>
      </c>
      <c r="C15">
        <v>2.92</v>
      </c>
      <c r="D15">
        <v>0.35499999999999998</v>
      </c>
      <c r="E15">
        <v>67</v>
      </c>
      <c r="F15">
        <v>0.40600000000000003</v>
      </c>
      <c r="G15">
        <f>67/150*100</f>
        <v>44.666666666666664</v>
      </c>
      <c r="H15">
        <f>386/736*100</f>
        <v>52.445652173913047</v>
      </c>
    </row>
    <row r="16" spans="1:8" x14ac:dyDescent="0.35">
      <c r="B16">
        <v>2011</v>
      </c>
      <c r="C16">
        <v>3.59</v>
      </c>
      <c r="D16">
        <v>0.36599999999999999</v>
      </c>
      <c r="E16">
        <v>67</v>
      </c>
      <c r="F16">
        <v>0.40600000000000003</v>
      </c>
      <c r="G16">
        <f>67/162*100</f>
        <v>41.358024691358025</v>
      </c>
      <c r="H16">
        <f>350/762*100</f>
        <v>45.931758530183728</v>
      </c>
    </row>
    <row r="17" spans="2:8" x14ac:dyDescent="0.35">
      <c r="B17">
        <v>2012</v>
      </c>
      <c r="C17">
        <v>3.27</v>
      </c>
      <c r="D17">
        <v>0.36899999999999999</v>
      </c>
      <c r="E17">
        <v>76</v>
      </c>
      <c r="F17">
        <v>0.44</v>
      </c>
      <c r="G17">
        <f>76/159*100</f>
        <v>47.79874213836478</v>
      </c>
      <c r="H17">
        <f>404/765*100</f>
        <v>52.810457516339874</v>
      </c>
    </row>
    <row r="18" spans="2:8" x14ac:dyDescent="0.35">
      <c r="B18">
        <v>2013</v>
      </c>
      <c r="C18">
        <v>3.1</v>
      </c>
      <c r="D18">
        <v>0.34</v>
      </c>
      <c r="E18">
        <v>58</v>
      </c>
      <c r="F18">
        <v>0.40300000000000002</v>
      </c>
      <c r="G18">
        <f>58/125*100</f>
        <v>46.400000000000006</v>
      </c>
      <c r="H18">
        <f>378/783*100</f>
        <v>48.275862068965516</v>
      </c>
    </row>
    <row r="19" spans="2:8" x14ac:dyDescent="0.35">
      <c r="B19">
        <v>2014</v>
      </c>
      <c r="C19">
        <v>3.42</v>
      </c>
      <c r="D19">
        <v>0.35299999999999998</v>
      </c>
      <c r="E19">
        <v>60</v>
      </c>
      <c r="F19">
        <v>0.39100000000000001</v>
      </c>
      <c r="G19">
        <f>60/105*100</f>
        <v>57.142857142857139</v>
      </c>
      <c r="H19">
        <f>332/619*100</f>
        <v>53.634894991922458</v>
      </c>
    </row>
    <row r="20" spans="2:8" x14ac:dyDescent="0.35">
      <c r="B20">
        <v>2015</v>
      </c>
      <c r="C20">
        <v>2.7</v>
      </c>
      <c r="D20">
        <v>0.36399999999999999</v>
      </c>
      <c r="E20">
        <v>60</v>
      </c>
      <c r="F20">
        <v>0.39800000000000002</v>
      </c>
      <c r="G20">
        <f>60/137*100</f>
        <v>43.79562043795621</v>
      </c>
      <c r="H20">
        <f>315/647*100</f>
        <v>48.68624420401855</v>
      </c>
    </row>
    <row r="21" spans="2:8" x14ac:dyDescent="0.35">
      <c r="B21">
        <v>2016</v>
      </c>
      <c r="C21">
        <v>4.08</v>
      </c>
      <c r="D21">
        <v>0.38900000000000001</v>
      </c>
      <c r="E21">
        <v>104</v>
      </c>
      <c r="F21">
        <v>0.43</v>
      </c>
      <c r="G21">
        <f>104/225*100</f>
        <v>46.222222222222221</v>
      </c>
      <c r="H21">
        <f>355/779*100</f>
        <v>45.571245186136075</v>
      </c>
    </row>
    <row r="22" spans="2:8" x14ac:dyDescent="0.35">
      <c r="B22">
        <v>2017</v>
      </c>
      <c r="C22">
        <v>3.6</v>
      </c>
      <c r="D22">
        <v>0.39500000000000002</v>
      </c>
      <c r="E22">
        <v>90</v>
      </c>
      <c r="F22">
        <v>0.42399999999999999</v>
      </c>
      <c r="G22">
        <f>90/196*100</f>
        <v>45.91836734693878</v>
      </c>
      <c r="H22">
        <f>359/761*100</f>
        <v>47.174770039421816</v>
      </c>
    </row>
    <row r="23" spans="2:8" x14ac:dyDescent="0.35">
      <c r="B23">
        <v>2018</v>
      </c>
      <c r="C23">
        <v>3.78</v>
      </c>
      <c r="D23">
        <v>0.38</v>
      </c>
      <c r="E23">
        <v>83</v>
      </c>
      <c r="F23">
        <v>0.38200000000000001</v>
      </c>
      <c r="G23">
        <f>83/205*100</f>
        <v>40.487804878048784</v>
      </c>
      <c r="H23">
        <f>351/759*100</f>
        <v>46.245059288537547</v>
      </c>
    </row>
    <row r="24" spans="2:8" x14ac:dyDescent="0.35">
      <c r="B24">
        <v>2019</v>
      </c>
      <c r="C24">
        <v>3.3</v>
      </c>
      <c r="D24">
        <v>0.376</v>
      </c>
      <c r="E24">
        <v>89</v>
      </c>
      <c r="F24">
        <v>0.40500000000000003</v>
      </c>
      <c r="G24">
        <f>89/210*100</f>
        <v>42.38095238095238</v>
      </c>
      <c r="H24">
        <f>388/764*100</f>
        <v>50.785340314136128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Parikh</dc:creator>
  <cp:lastModifiedBy>Arjun Parikh</cp:lastModifiedBy>
  <dcterms:created xsi:type="dcterms:W3CDTF">2021-02-07T18:33:27Z</dcterms:created>
  <dcterms:modified xsi:type="dcterms:W3CDTF">2021-05-25T02:38:17Z</dcterms:modified>
</cp:coreProperties>
</file>