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sa-research\"/>
    </mc:Choice>
  </mc:AlternateContent>
  <xr:revisionPtr revIDLastSave="0" documentId="13_ncr:1_{5C305C8D-60E1-45EB-B760-036A8A1E5059}" xr6:coauthVersionLast="46" xr6:coauthVersionMax="46" xr10:uidLastSave="{00000000-0000-0000-0000-000000000000}"/>
  <bookViews>
    <workbookView xWindow="-110" yWindow="-110" windowWidth="19420" windowHeight="10420" activeTab="4" xr2:uid="{011EEE82-27A8-4D35-ACB3-E0118E4D60F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6" l="1"/>
  <c r="G21" i="6"/>
  <c r="H19" i="6"/>
  <c r="H20" i="6"/>
  <c r="G20" i="6"/>
  <c r="G19" i="6"/>
  <c r="H18" i="6"/>
  <c r="G18" i="6"/>
  <c r="H17" i="6"/>
  <c r="G17" i="6"/>
  <c r="H16" i="6"/>
  <c r="G16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7" i="2"/>
  <c r="G7" i="2"/>
  <c r="H6" i="2"/>
  <c r="G6" i="2"/>
  <c r="H5" i="2"/>
  <c r="G5" i="2"/>
  <c r="H4" i="2"/>
  <c r="G4" i="2"/>
  <c r="H3" i="2"/>
  <c r="G3" i="2"/>
  <c r="H2" i="2"/>
  <c r="G2" i="2"/>
  <c r="H2" i="5"/>
  <c r="G2" i="5"/>
  <c r="H3" i="5"/>
  <c r="G3" i="5"/>
  <c r="H4" i="5"/>
  <c r="G4" i="5"/>
  <c r="H5" i="5"/>
  <c r="G5" i="5"/>
  <c r="H6" i="5"/>
  <c r="G6" i="5"/>
  <c r="H8" i="5"/>
  <c r="H7" i="5"/>
  <c r="G7" i="5"/>
  <c r="G8" i="5"/>
  <c r="H9" i="5"/>
  <c r="G9" i="5"/>
  <c r="H10" i="5"/>
  <c r="G11" i="5"/>
  <c r="G10" i="5"/>
  <c r="H11" i="5"/>
  <c r="H18" i="4"/>
  <c r="G18" i="4"/>
  <c r="H17" i="4"/>
  <c r="G17" i="4"/>
  <c r="H16" i="4"/>
  <c r="G16" i="4"/>
  <c r="H15" i="4"/>
  <c r="G15" i="4"/>
  <c r="H7" i="4"/>
  <c r="G7" i="4"/>
  <c r="H6" i="4"/>
  <c r="G6" i="4"/>
  <c r="H5" i="4"/>
  <c r="G5" i="4"/>
  <c r="H4" i="4"/>
  <c r="G4" i="4"/>
  <c r="H3" i="4"/>
  <c r="G3" i="4"/>
  <c r="H2" i="4"/>
  <c r="G2" i="4"/>
  <c r="H18" i="3"/>
  <c r="G18" i="3"/>
  <c r="H17" i="3"/>
  <c r="G17" i="3"/>
  <c r="H16" i="3"/>
  <c r="G16" i="3"/>
  <c r="H15" i="3"/>
  <c r="G15" i="3"/>
  <c r="H7" i="3"/>
  <c r="H2" i="3"/>
  <c r="G2" i="3"/>
  <c r="H3" i="3"/>
  <c r="G3" i="3"/>
  <c r="H4" i="3"/>
  <c r="G4" i="3"/>
  <c r="H5" i="3"/>
  <c r="G5" i="3"/>
  <c r="H6" i="3"/>
  <c r="G6" i="3"/>
  <c r="G7" i="3"/>
  <c r="H2" i="1"/>
  <c r="G2" i="1"/>
  <c r="H3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7" i="5"/>
  <c r="G17" i="5"/>
  <c r="H16" i="5"/>
  <c r="G16" i="5"/>
  <c r="H15" i="5"/>
  <c r="G15" i="5"/>
  <c r="H14" i="5"/>
  <c r="G14" i="5"/>
  <c r="H13" i="5"/>
  <c r="G13" i="5"/>
  <c r="H12" i="5"/>
  <c r="G12" i="5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</calcChain>
</file>

<file path=xl/sharedStrings.xml><?xml version="1.0" encoding="utf-8"?>
<sst xmlns="http://schemas.openxmlformats.org/spreadsheetml/2006/main" count="56" uniqueCount="22">
  <si>
    <t>Houston Astros</t>
  </si>
  <si>
    <t>Year</t>
  </si>
  <si>
    <t>Home ERA</t>
  </si>
  <si>
    <t>Minute Maid Park</t>
  </si>
  <si>
    <t>Homeruns Hit at Home</t>
  </si>
  <si>
    <t>Slugging % at Home</t>
  </si>
  <si>
    <t>Opponent Slugging % at MMP</t>
  </si>
  <si>
    <t>Miami Marlins</t>
  </si>
  <si>
    <t>Marlins Park</t>
  </si>
  <si>
    <t>San Diego Padres</t>
  </si>
  <si>
    <t>Petco Park</t>
  </si>
  <si>
    <t>Seattle Mariners</t>
  </si>
  <si>
    <t>T-Mobile Park</t>
  </si>
  <si>
    <t>Atlanta Braves</t>
  </si>
  <si>
    <t>Turner Field</t>
  </si>
  <si>
    <t>Truist Park (2017)</t>
  </si>
  <si>
    <t>Minnesota Twins</t>
  </si>
  <si>
    <t>Metrodome</t>
  </si>
  <si>
    <t>Target Field (2010)</t>
  </si>
  <si>
    <t>% HR @ Home</t>
  </si>
  <si>
    <t>% Runs @ Home</t>
  </si>
  <si>
    <t>Opponent Slugging %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</si>
</sst>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3.07</c:v>
                </c:pt>
                <c:pt idx="1">
                  <c:v>4.03</c:v>
                </c:pt>
                <c:pt idx="2">
                  <c:v>4.05</c:v>
                </c:pt>
                <c:pt idx="3">
                  <c:v>4.25</c:v>
                </c:pt>
                <c:pt idx="4">
                  <c:v>4.01</c:v>
                </c:pt>
                <c:pt idx="5">
                  <c:v>3.51</c:v>
                </c:pt>
                <c:pt idx="6">
                  <c:v>4.5999999999999996</c:v>
                </c:pt>
                <c:pt idx="7">
                  <c:v>3.79</c:v>
                </c:pt>
                <c:pt idx="8">
                  <c:v>4.9800000000000004</c:v>
                </c:pt>
                <c:pt idx="9">
                  <c:v>4.03</c:v>
                </c:pt>
                <c:pt idx="10">
                  <c:v>3.22</c:v>
                </c:pt>
                <c:pt idx="11">
                  <c:v>3.4</c:v>
                </c:pt>
                <c:pt idx="12">
                  <c:v>3.65</c:v>
                </c:pt>
                <c:pt idx="13">
                  <c:v>3.34</c:v>
                </c:pt>
                <c:pt idx="14">
                  <c:v>3.72</c:v>
                </c:pt>
                <c:pt idx="15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9-4CAC-93F9-A45D7B6B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5455"/>
        <c:axId val="2143784623"/>
      </c:scatterChart>
      <c:valAx>
        <c:axId val="21437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4623"/>
        <c:crosses val="autoZero"/>
        <c:crossBetween val="midCat"/>
      </c:valAx>
      <c:valAx>
        <c:axId val="21437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Sheet4!$E$2:$E$18</c:f>
              <c:numCache>
                <c:formatCode>General</c:formatCode>
                <c:ptCount val="17"/>
                <c:pt idx="0">
                  <c:v>69</c:v>
                </c:pt>
                <c:pt idx="1">
                  <c:v>71</c:v>
                </c:pt>
                <c:pt idx="2">
                  <c:v>63</c:v>
                </c:pt>
                <c:pt idx="3">
                  <c:v>81</c:v>
                </c:pt>
                <c:pt idx="4">
                  <c:v>77</c:v>
                </c:pt>
                <c:pt idx="5">
                  <c:v>59</c:v>
                </c:pt>
                <c:pt idx="6">
                  <c:v>76</c:v>
                </c:pt>
                <c:pt idx="7">
                  <c:v>35</c:v>
                </c:pt>
                <c:pt idx="8">
                  <c:v>57</c:v>
                </c:pt>
                <c:pt idx="9">
                  <c:v>56</c:v>
                </c:pt>
                <c:pt idx="10">
                  <c:v>88</c:v>
                </c:pt>
                <c:pt idx="11">
                  <c:v>73</c:v>
                </c:pt>
                <c:pt idx="12">
                  <c:v>90</c:v>
                </c:pt>
                <c:pt idx="13">
                  <c:v>116</c:v>
                </c:pt>
                <c:pt idx="14">
                  <c:v>97</c:v>
                </c:pt>
                <c:pt idx="15">
                  <c:v>84</c:v>
                </c:pt>
                <c:pt idx="1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D3F-8A90-B0110952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7119"/>
        <c:axId val="2134941711"/>
      </c:scatterChart>
      <c:valAx>
        <c:axId val="21349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1711"/>
        <c:crosses val="autoZero"/>
        <c:crossBetween val="midCat"/>
      </c:valAx>
      <c:valAx>
        <c:axId val="21349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Sheet4!$F$2:$F$18</c:f>
              <c:numCache>
                <c:formatCode>General</c:formatCode>
                <c:ptCount val="17"/>
                <c:pt idx="0">
                  <c:v>0.39800000000000002</c:v>
                </c:pt>
                <c:pt idx="1">
                  <c:v>0.38500000000000001</c:v>
                </c:pt>
                <c:pt idx="2">
                  <c:v>0.39</c:v>
                </c:pt>
                <c:pt idx="3">
                  <c:v>0.41599999999999998</c:v>
                </c:pt>
                <c:pt idx="4">
                  <c:v>0.41799999999999998</c:v>
                </c:pt>
                <c:pt idx="5">
                  <c:v>0.39800000000000002</c:v>
                </c:pt>
                <c:pt idx="6">
                  <c:v>0.39500000000000002</c:v>
                </c:pt>
                <c:pt idx="7">
                  <c:v>0.32200000000000001</c:v>
                </c:pt>
                <c:pt idx="8">
                  <c:v>0.33300000000000002</c:v>
                </c:pt>
                <c:pt idx="9">
                  <c:v>0.33100000000000002</c:v>
                </c:pt>
                <c:pt idx="10">
                  <c:v>0.38700000000000001</c:v>
                </c:pt>
                <c:pt idx="11">
                  <c:v>0.29399999999999998</c:v>
                </c:pt>
                <c:pt idx="12">
                  <c:v>0.40200000000000002</c:v>
                </c:pt>
                <c:pt idx="13">
                  <c:v>0.43099999999999999</c:v>
                </c:pt>
                <c:pt idx="14">
                  <c:v>0.42699999999999999</c:v>
                </c:pt>
                <c:pt idx="15">
                  <c:v>0.39200000000000002</c:v>
                </c:pt>
                <c:pt idx="16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B-4778-9097-74FC4226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86783"/>
        <c:axId val="1919984287"/>
      </c:scatterChart>
      <c:valAx>
        <c:axId val="191998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84287"/>
        <c:crosses val="autoZero"/>
        <c:crossBetween val="midCat"/>
      </c:valAx>
      <c:valAx>
        <c:axId val="1919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8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Sheet4!$G$2:$G$18</c:f>
              <c:numCache>
                <c:formatCode>General</c:formatCode>
                <c:ptCount val="17"/>
                <c:pt idx="0">
                  <c:v>49.640287769784173</c:v>
                </c:pt>
                <c:pt idx="1">
                  <c:v>52.205882352941181</c:v>
                </c:pt>
                <c:pt idx="2">
                  <c:v>48.46153846153846</c:v>
                </c:pt>
                <c:pt idx="3">
                  <c:v>47.093023255813954</c:v>
                </c:pt>
                <c:pt idx="4">
                  <c:v>50.326797385620914</c:v>
                </c:pt>
                <c:pt idx="5">
                  <c:v>47.580645161290327</c:v>
                </c:pt>
                <c:pt idx="6">
                  <c:v>47.5</c:v>
                </c:pt>
                <c:pt idx="7">
                  <c:v>47.5</c:v>
                </c:pt>
                <c:pt idx="8">
                  <c:v>52.293577981651374</c:v>
                </c:pt>
                <c:pt idx="9">
                  <c:v>37.583892617449663</c:v>
                </c:pt>
                <c:pt idx="10">
                  <c:v>46.808510638297875</c:v>
                </c:pt>
                <c:pt idx="11">
                  <c:v>53.67647058823529</c:v>
                </c:pt>
                <c:pt idx="12">
                  <c:v>45.454545454545453</c:v>
                </c:pt>
                <c:pt idx="13">
                  <c:v>52.017937219730939</c:v>
                </c:pt>
                <c:pt idx="14">
                  <c:v>48.5</c:v>
                </c:pt>
                <c:pt idx="15">
                  <c:v>47.727272727272727</c:v>
                </c:pt>
                <c:pt idx="16">
                  <c:v>44.769874476987447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6-44DC-9D40-4236320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8367"/>
        <c:axId val="2134942543"/>
      </c:scatterChart>
      <c:valAx>
        <c:axId val="21349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2543"/>
        <c:crosses val="autoZero"/>
        <c:crossBetween val="midCat"/>
      </c:valAx>
      <c:valAx>
        <c:axId val="21349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Sheet4!$H$2:$H$18</c:f>
              <c:numCache>
                <c:formatCode>General</c:formatCode>
                <c:ptCount val="17"/>
                <c:pt idx="0">
                  <c:v>49.559748427672957</c:v>
                </c:pt>
                <c:pt idx="1">
                  <c:v>44.842406876790832</c:v>
                </c:pt>
                <c:pt idx="2">
                  <c:v>50.643776824034333</c:v>
                </c:pt>
                <c:pt idx="3">
                  <c:v>46.693121693121689</c:v>
                </c:pt>
                <c:pt idx="4">
                  <c:v>48.614609571788414</c:v>
                </c:pt>
                <c:pt idx="5">
                  <c:v>50.22354694485842</c:v>
                </c:pt>
                <c:pt idx="6">
                  <c:v>48.90625</c:v>
                </c:pt>
                <c:pt idx="7">
                  <c:v>48.90625</c:v>
                </c:pt>
                <c:pt idx="8">
                  <c:v>47.661870503597122</c:v>
                </c:pt>
                <c:pt idx="9">
                  <c:v>41.518578352180938</c:v>
                </c:pt>
                <c:pt idx="10">
                  <c:v>49.679487179487182</c:v>
                </c:pt>
                <c:pt idx="11">
                  <c:v>44.321766561514195</c:v>
                </c:pt>
                <c:pt idx="12">
                  <c:v>47.256097560975604</c:v>
                </c:pt>
                <c:pt idx="13">
                  <c:v>48.177083333333329</c:v>
                </c:pt>
                <c:pt idx="14">
                  <c:v>49.333333333333336</c:v>
                </c:pt>
                <c:pt idx="15">
                  <c:v>44.165435745937963</c:v>
                </c:pt>
                <c:pt idx="16">
                  <c:v>48.416886543535618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5-4A22-8D95-08E154C7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8479"/>
        <c:axId val="55721807"/>
      </c:scatterChart>
      <c:valAx>
        <c:axId val="557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807"/>
        <c:crosses val="autoZero"/>
        <c:crossBetween val="midCat"/>
      </c:valAx>
      <c:valAx>
        <c:axId val="557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Sheet5!$E$2:$E$18</c:f>
              <c:numCache>
                <c:formatCode>General</c:formatCode>
                <c:ptCount val="17"/>
                <c:pt idx="0">
                  <c:v>92</c:v>
                </c:pt>
                <c:pt idx="1">
                  <c:v>89</c:v>
                </c:pt>
                <c:pt idx="2">
                  <c:v>100</c:v>
                </c:pt>
                <c:pt idx="3">
                  <c:v>82</c:v>
                </c:pt>
                <c:pt idx="4">
                  <c:v>62</c:v>
                </c:pt>
                <c:pt idx="5">
                  <c:v>69</c:v>
                </c:pt>
                <c:pt idx="6">
                  <c:v>74</c:v>
                </c:pt>
                <c:pt idx="7">
                  <c:v>90</c:v>
                </c:pt>
                <c:pt idx="8">
                  <c:v>70</c:v>
                </c:pt>
                <c:pt idx="9">
                  <c:v>90</c:v>
                </c:pt>
                <c:pt idx="10">
                  <c:v>62</c:v>
                </c:pt>
                <c:pt idx="11">
                  <c:v>48</c:v>
                </c:pt>
                <c:pt idx="12">
                  <c:v>52</c:v>
                </c:pt>
                <c:pt idx="13">
                  <c:v>77</c:v>
                </c:pt>
                <c:pt idx="14">
                  <c:v>78</c:v>
                </c:pt>
                <c:pt idx="1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FBC-BA1D-E28B496E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11"/>
        <c:axId val="76210175"/>
      </c:scatterChart>
      <c:valAx>
        <c:axId val="761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175"/>
        <c:crosses val="autoZero"/>
        <c:crossBetween val="midCat"/>
      </c:valAx>
      <c:valAx>
        <c:axId val="7621017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Sheet5!$F$2:$F$18</c:f>
              <c:numCache>
                <c:formatCode>General</c:formatCode>
                <c:ptCount val="17"/>
                <c:pt idx="0">
                  <c:v>0.434</c:v>
                </c:pt>
                <c:pt idx="1">
                  <c:v>0.46200000000000002</c:v>
                </c:pt>
                <c:pt idx="2">
                  <c:v>0.45700000000000002</c:v>
                </c:pt>
                <c:pt idx="3">
                  <c:v>0.41599999999999998</c:v>
                </c:pt>
                <c:pt idx="4">
                  <c:v>0.41099999999999998</c:v>
                </c:pt>
                <c:pt idx="5">
                  <c:v>0.39200000000000002</c:v>
                </c:pt>
                <c:pt idx="6">
                  <c:v>0.42299999999999999</c:v>
                </c:pt>
                <c:pt idx="7">
                  <c:v>0.40600000000000003</c:v>
                </c:pt>
                <c:pt idx="8">
                  <c:v>0.39600000000000002</c:v>
                </c:pt>
                <c:pt idx="9">
                  <c:v>0.41899999999999998</c:v>
                </c:pt>
                <c:pt idx="10">
                  <c:v>0.35799999999999998</c:v>
                </c:pt>
                <c:pt idx="11">
                  <c:v>0.35899999999999999</c:v>
                </c:pt>
                <c:pt idx="12">
                  <c:v>0.377</c:v>
                </c:pt>
                <c:pt idx="13">
                  <c:v>0.40500000000000003</c:v>
                </c:pt>
                <c:pt idx="14">
                  <c:v>0.40400000000000003</c:v>
                </c:pt>
                <c:pt idx="15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6-448A-8575-70A78A4E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5135"/>
        <c:axId val="76233471"/>
      </c:scatterChart>
      <c:valAx>
        <c:axId val="762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471"/>
        <c:crosses val="autoZero"/>
        <c:crossBetween val="midCat"/>
      </c:valAx>
      <c:valAx>
        <c:axId val="76233471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Sheet6!$F$2:$F$21</c:f>
              <c:numCache>
                <c:formatCode>General</c:formatCode>
                <c:ptCount val="20"/>
                <c:pt idx="0">
                  <c:v>0.42399999999999999</c:v>
                </c:pt>
                <c:pt idx="1">
                  <c:v>0.434</c:v>
                </c:pt>
                <c:pt idx="2">
                  <c:v>0.439</c:v>
                </c:pt>
                <c:pt idx="3">
                  <c:v>0.435</c:v>
                </c:pt>
                <c:pt idx="4">
                  <c:v>0.42899999999999999</c:v>
                </c:pt>
                <c:pt idx="5">
                  <c:v>0.39900000000000002</c:v>
                </c:pt>
                <c:pt idx="6">
                  <c:v>0.439</c:v>
                </c:pt>
                <c:pt idx="7">
                  <c:v>0.376</c:v>
                </c:pt>
                <c:pt idx="8">
                  <c:v>0.42899999999999999</c:v>
                </c:pt>
                <c:pt idx="9">
                  <c:v>0.44800000000000001</c:v>
                </c:pt>
                <c:pt idx="10">
                  <c:v>0.42199999999999999</c:v>
                </c:pt>
                <c:pt idx="11">
                  <c:v>0.35899999999999999</c:v>
                </c:pt>
                <c:pt idx="12">
                  <c:v>0.41499999999999998</c:v>
                </c:pt>
                <c:pt idx="13">
                  <c:v>0.38100000000000001</c:v>
                </c:pt>
                <c:pt idx="14">
                  <c:v>0.40200000000000002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0.45700000000000002</c:v>
                </c:pt>
                <c:pt idx="18">
                  <c:v>0.42899999999999999</c:v>
                </c:pt>
                <c:pt idx="19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F-4C1D-A03F-DD7580A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71375"/>
        <c:axId val="1984279279"/>
      </c:scatterChart>
      <c:valAx>
        <c:axId val="19842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9279"/>
        <c:crosses val="autoZero"/>
        <c:crossBetween val="midCat"/>
      </c:valAx>
      <c:valAx>
        <c:axId val="19842792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Sheet6!$E$2:$E$21</c:f>
              <c:numCache>
                <c:formatCode>General</c:formatCode>
                <c:ptCount val="20"/>
                <c:pt idx="0">
                  <c:v>54</c:v>
                </c:pt>
                <c:pt idx="1">
                  <c:v>76</c:v>
                </c:pt>
                <c:pt idx="2">
                  <c:v>68</c:v>
                </c:pt>
                <c:pt idx="3">
                  <c:v>76</c:v>
                </c:pt>
                <c:pt idx="4">
                  <c:v>89</c:v>
                </c:pt>
                <c:pt idx="5">
                  <c:v>67</c:v>
                </c:pt>
                <c:pt idx="6">
                  <c:v>69</c:v>
                </c:pt>
                <c:pt idx="7">
                  <c:v>48</c:v>
                </c:pt>
                <c:pt idx="8">
                  <c:v>56</c:v>
                </c:pt>
                <c:pt idx="9">
                  <c:v>96</c:v>
                </c:pt>
                <c:pt idx="10">
                  <c:v>52</c:v>
                </c:pt>
                <c:pt idx="11">
                  <c:v>46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85</c:v>
                </c:pt>
                <c:pt idx="16">
                  <c:v>98</c:v>
                </c:pt>
                <c:pt idx="17">
                  <c:v>110</c:v>
                </c:pt>
                <c:pt idx="18">
                  <c:v>86</c:v>
                </c:pt>
                <c:pt idx="1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3-4CB1-B6D1-244D57DF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7631"/>
        <c:axId val="76221823"/>
      </c:scatterChart>
      <c:valAx>
        <c:axId val="762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823"/>
        <c:crosses val="autoZero"/>
        <c:crossBetween val="midCat"/>
      </c:valAx>
      <c:valAx>
        <c:axId val="76221823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>4.28</c:v>
                </c:pt>
                <c:pt idx="1">
                  <c:v>3.85</c:v>
                </c:pt>
                <c:pt idx="2">
                  <c:v>3.52</c:v>
                </c:pt>
                <c:pt idx="3">
                  <c:v>3.75</c:v>
                </c:pt>
                <c:pt idx="4">
                  <c:v>3.02</c:v>
                </c:pt>
                <c:pt idx="5">
                  <c:v>3.65</c:v>
                </c:pt>
                <c:pt idx="6">
                  <c:v>3.44</c:v>
                </c:pt>
                <c:pt idx="7">
                  <c:v>2.9</c:v>
                </c:pt>
                <c:pt idx="8">
                  <c:v>3.02</c:v>
                </c:pt>
                <c:pt idx="9">
                  <c:v>3.35</c:v>
                </c:pt>
                <c:pt idx="10">
                  <c:v>3.24</c:v>
                </c:pt>
                <c:pt idx="11">
                  <c:v>2.56</c:v>
                </c:pt>
                <c:pt idx="12">
                  <c:v>3.76</c:v>
                </c:pt>
                <c:pt idx="13">
                  <c:v>4.13</c:v>
                </c:pt>
                <c:pt idx="14">
                  <c:v>3.75</c:v>
                </c:pt>
                <c:pt idx="15">
                  <c:v>4.13</c:v>
                </c:pt>
                <c:pt idx="16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6D-8E14-135AAF0F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97215"/>
        <c:axId val="2129197631"/>
      </c:scatterChart>
      <c:valAx>
        <c:axId val="212919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631"/>
        <c:crosses val="autoZero"/>
        <c:crossBetween val="midCat"/>
      </c:valAx>
      <c:valAx>
        <c:axId val="2129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Sheet3!$D$2:$D$18</c:f>
              <c:numCache>
                <c:formatCode>General</c:formatCode>
                <c:ptCount val="17"/>
                <c:pt idx="0">
                  <c:v>0.41199999999999998</c:v>
                </c:pt>
                <c:pt idx="1">
                  <c:v>0.40899999999999997</c:v>
                </c:pt>
                <c:pt idx="2">
                  <c:v>0.378</c:v>
                </c:pt>
                <c:pt idx="3">
                  <c:v>0.39600000000000002</c:v>
                </c:pt>
                <c:pt idx="4">
                  <c:v>0.33600000000000002</c:v>
                </c:pt>
                <c:pt idx="5">
                  <c:v>0.36799999999999999</c:v>
                </c:pt>
                <c:pt idx="6">
                  <c:v>0.35299999999999998</c:v>
                </c:pt>
                <c:pt idx="7">
                  <c:v>0.34499999999999997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0.373</c:v>
                </c:pt>
                <c:pt idx="11">
                  <c:v>0.32</c:v>
                </c:pt>
                <c:pt idx="12">
                  <c:v>0.40500000000000003</c:v>
                </c:pt>
                <c:pt idx="13">
                  <c:v>0.41</c:v>
                </c:pt>
                <c:pt idx="14">
                  <c:v>0.39200000000000002</c:v>
                </c:pt>
                <c:pt idx="15">
                  <c:v>0.41</c:v>
                </c:pt>
                <c:pt idx="16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F-4C23-AB9C-0604F1B0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12223"/>
        <c:axId val="2134632607"/>
      </c:scatterChart>
      <c:valAx>
        <c:axId val="21346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2607"/>
        <c:crosses val="autoZero"/>
        <c:crossBetween val="midCat"/>
      </c:valAx>
      <c:valAx>
        <c:axId val="2134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Sheet3!$E$2:$E$18</c:f>
              <c:numCache>
                <c:formatCode>General</c:formatCode>
                <c:ptCount val="17"/>
                <c:pt idx="0">
                  <c:v>55</c:v>
                </c:pt>
                <c:pt idx="1">
                  <c:v>57</c:v>
                </c:pt>
                <c:pt idx="2">
                  <c:v>54</c:v>
                </c:pt>
                <c:pt idx="3">
                  <c:v>75</c:v>
                </c:pt>
                <c:pt idx="4">
                  <c:v>72</c:v>
                </c:pt>
                <c:pt idx="5">
                  <c:v>66</c:v>
                </c:pt>
                <c:pt idx="6">
                  <c:v>61</c:v>
                </c:pt>
                <c:pt idx="7">
                  <c:v>59</c:v>
                </c:pt>
                <c:pt idx="8">
                  <c:v>46</c:v>
                </c:pt>
                <c:pt idx="9">
                  <c:v>47</c:v>
                </c:pt>
                <c:pt idx="10">
                  <c:v>66</c:v>
                </c:pt>
                <c:pt idx="11">
                  <c:v>54</c:v>
                </c:pt>
                <c:pt idx="12">
                  <c:v>74</c:v>
                </c:pt>
                <c:pt idx="13">
                  <c:v>83</c:v>
                </c:pt>
                <c:pt idx="14">
                  <c:v>89</c:v>
                </c:pt>
                <c:pt idx="15">
                  <c:v>81</c:v>
                </c:pt>
                <c:pt idx="1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BB1-A9E4-50567A05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30063"/>
        <c:axId val="2142730895"/>
      </c:scatterChart>
      <c:valAx>
        <c:axId val="21427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0895"/>
        <c:crosses val="autoZero"/>
        <c:crossBetween val="midCat"/>
      </c:valAx>
      <c:valAx>
        <c:axId val="21427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Sheet3!$F$2:$F$18</c:f>
              <c:numCache>
                <c:formatCode>General</c:formatCode>
                <c:ptCount val="17"/>
                <c:pt idx="0">
                  <c:v>0.375</c:v>
                </c:pt>
                <c:pt idx="1">
                  <c:v>0.38700000000000001</c:v>
                </c:pt>
                <c:pt idx="2">
                  <c:v>0.377</c:v>
                </c:pt>
                <c:pt idx="3">
                  <c:v>0.38800000000000001</c:v>
                </c:pt>
                <c:pt idx="4">
                  <c:v>0.378</c:v>
                </c:pt>
                <c:pt idx="5">
                  <c:v>0.36499999999999999</c:v>
                </c:pt>
                <c:pt idx="6">
                  <c:v>0.34200000000000003</c:v>
                </c:pt>
                <c:pt idx="7">
                  <c:v>0.35799999999999998</c:v>
                </c:pt>
                <c:pt idx="8">
                  <c:v>0.33400000000000002</c:v>
                </c:pt>
                <c:pt idx="9">
                  <c:v>0.36699999999999999</c:v>
                </c:pt>
                <c:pt idx="10">
                  <c:v>0.36699999999999999</c:v>
                </c:pt>
                <c:pt idx="11">
                  <c:v>0.34799999999999998</c:v>
                </c:pt>
                <c:pt idx="12">
                  <c:v>0.39200000000000002</c:v>
                </c:pt>
                <c:pt idx="13">
                  <c:v>0.39300000000000002</c:v>
                </c:pt>
                <c:pt idx="14">
                  <c:v>0.39400000000000002</c:v>
                </c:pt>
                <c:pt idx="15">
                  <c:v>0.378</c:v>
                </c:pt>
                <c:pt idx="16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3-40C4-8FB0-4EB7EF04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19711"/>
        <c:axId val="2134613055"/>
      </c:scatterChart>
      <c:valAx>
        <c:axId val="2134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3055"/>
        <c:crosses val="autoZero"/>
        <c:crossBetween val="midCat"/>
      </c:valAx>
      <c:valAx>
        <c:axId val="21346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Sheet3!$G$2:$G$18</c:f>
              <c:numCache>
                <c:formatCode>General</c:formatCode>
                <c:ptCount val="17"/>
                <c:pt idx="0">
                  <c:v>42.96875</c:v>
                </c:pt>
                <c:pt idx="1">
                  <c:v>41.007194244604314</c:v>
                </c:pt>
                <c:pt idx="2">
                  <c:v>41.53846153846154</c:v>
                </c:pt>
                <c:pt idx="3">
                  <c:v>46.58385093167702</c:v>
                </c:pt>
                <c:pt idx="4">
                  <c:v>42.105263157894733</c:v>
                </c:pt>
                <c:pt idx="5">
                  <c:v>42.857142857142854</c:v>
                </c:pt>
                <c:pt idx="6">
                  <c:v>43.262411347517734</c:v>
                </c:pt>
                <c:pt idx="7">
                  <c:v>44.696969696969695</c:v>
                </c:pt>
                <c:pt idx="8">
                  <c:v>50.549450549450547</c:v>
                </c:pt>
                <c:pt idx="9">
                  <c:v>38.84297520661157</c:v>
                </c:pt>
                <c:pt idx="10">
                  <c:v>45.205479452054789</c:v>
                </c:pt>
                <c:pt idx="11">
                  <c:v>49.541284403669728</c:v>
                </c:pt>
                <c:pt idx="12">
                  <c:v>50</c:v>
                </c:pt>
                <c:pt idx="13">
                  <c:v>46.89265536723164</c:v>
                </c:pt>
                <c:pt idx="14">
                  <c:v>47.089947089947088</c:v>
                </c:pt>
                <c:pt idx="15">
                  <c:v>50</c:v>
                </c:pt>
                <c:pt idx="16">
                  <c:v>46.118721461187214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F-4AE3-921D-E9FECCD9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37119"/>
        <c:axId val="1863935455"/>
      </c:scatterChart>
      <c:valAx>
        <c:axId val="18639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5455"/>
        <c:crosses val="autoZero"/>
        <c:crossBetween val="midCat"/>
      </c:valAx>
      <c:valAx>
        <c:axId val="18639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Sheet3!$H$2:$H$18</c:f>
              <c:numCache>
                <c:formatCode>General</c:formatCode>
                <c:ptCount val="17"/>
                <c:pt idx="0">
                  <c:v>45.132743362831853</c:v>
                </c:pt>
                <c:pt idx="1">
                  <c:v>42.838541666666671</c:v>
                </c:pt>
                <c:pt idx="2">
                  <c:v>45.029239766081872</c:v>
                </c:pt>
                <c:pt idx="3">
                  <c:v>43.091655266757869</c:v>
                </c:pt>
                <c:pt idx="4">
                  <c:v>43.589743589743591</c:v>
                </c:pt>
                <c:pt idx="5">
                  <c:v>45.368916797488225</c:v>
                </c:pt>
                <c:pt idx="6">
                  <c:v>43.573667711598745</c:v>
                </c:pt>
                <c:pt idx="7">
                  <c:v>48.421052631578945</c:v>
                </c:pt>
                <c:pt idx="8">
                  <c:v>43.001686340640809</c:v>
                </c:pt>
                <c:pt idx="9">
                  <c:v>47.465437788018434</c:v>
                </c:pt>
                <c:pt idx="10">
                  <c:v>47.087378640776699</c:v>
                </c:pt>
                <c:pt idx="11">
                  <c:v>49.906542056074763</c:v>
                </c:pt>
                <c:pt idx="12">
                  <c:v>49.38461538461538</c:v>
                </c:pt>
                <c:pt idx="13">
                  <c:v>51.020408163265309</c:v>
                </c:pt>
                <c:pt idx="14">
                  <c:v>50</c:v>
                </c:pt>
                <c:pt idx="15">
                  <c:v>50.729335494327387</c:v>
                </c:pt>
                <c:pt idx="16">
                  <c:v>45.747800586510259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3-48AA-8DCC-ABFF11DA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98831"/>
        <c:axId val="2132800911"/>
      </c:scatterChart>
      <c:valAx>
        <c:axId val="21327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0911"/>
        <c:crosses val="autoZero"/>
        <c:crossBetween val="midCat"/>
      </c:valAx>
      <c:valAx>
        <c:axId val="21328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Sheet4!$C$2:$C$18</c:f>
              <c:numCache>
                <c:formatCode>General</c:formatCode>
                <c:ptCount val="17"/>
                <c:pt idx="0">
                  <c:v>3.54</c:v>
                </c:pt>
                <c:pt idx="1">
                  <c:v>4.3</c:v>
                </c:pt>
                <c:pt idx="2">
                  <c:v>4.1500000000000004</c:v>
                </c:pt>
                <c:pt idx="3">
                  <c:v>4.26</c:v>
                </c:pt>
                <c:pt idx="4">
                  <c:v>4.57</c:v>
                </c:pt>
                <c:pt idx="5">
                  <c:v>4.4000000000000004</c:v>
                </c:pt>
                <c:pt idx="6">
                  <c:v>3.62</c:v>
                </c:pt>
                <c:pt idx="7">
                  <c:v>2.96</c:v>
                </c:pt>
                <c:pt idx="8">
                  <c:v>3.69</c:v>
                </c:pt>
                <c:pt idx="9">
                  <c:v>2.96</c:v>
                </c:pt>
                <c:pt idx="10">
                  <c:v>4.17</c:v>
                </c:pt>
                <c:pt idx="11">
                  <c:v>2.93</c:v>
                </c:pt>
                <c:pt idx="12">
                  <c:v>3.72</c:v>
                </c:pt>
                <c:pt idx="13">
                  <c:v>3.81</c:v>
                </c:pt>
                <c:pt idx="14">
                  <c:v>4</c:v>
                </c:pt>
                <c:pt idx="15">
                  <c:v>3.7</c:v>
                </c:pt>
                <c:pt idx="1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3-4BCA-8F64-2367DE4A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28895"/>
        <c:axId val="2139129311"/>
      </c:scatterChart>
      <c:valAx>
        <c:axId val="21391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9311"/>
        <c:crosses val="autoZero"/>
        <c:crossBetween val="midCat"/>
      </c:valAx>
      <c:valAx>
        <c:axId val="21391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Opponent Slugging % at MMP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Sheet4!$D$2:$D$18</c:f>
              <c:numCache>
                <c:formatCode>General</c:formatCode>
                <c:ptCount val="17"/>
                <c:pt idx="0">
                  <c:v>0.375</c:v>
                </c:pt>
                <c:pt idx="1">
                  <c:v>0.42599999999999999</c:v>
                </c:pt>
                <c:pt idx="2">
                  <c:v>0.39400000000000002</c:v>
                </c:pt>
                <c:pt idx="3">
                  <c:v>0.41</c:v>
                </c:pt>
                <c:pt idx="4">
                  <c:v>0.41899999999999998</c:v>
                </c:pt>
                <c:pt idx="5">
                  <c:v>0.40899999999999997</c:v>
                </c:pt>
                <c:pt idx="6">
                  <c:v>0.376</c:v>
                </c:pt>
                <c:pt idx="7">
                  <c:v>0.33800000000000002</c:v>
                </c:pt>
                <c:pt idx="8">
                  <c:v>0.36899999999999999</c:v>
                </c:pt>
                <c:pt idx="9">
                  <c:v>0.33800000000000002</c:v>
                </c:pt>
                <c:pt idx="10">
                  <c:v>0.40300000000000002</c:v>
                </c:pt>
                <c:pt idx="11">
                  <c:v>0.33600000000000002</c:v>
                </c:pt>
                <c:pt idx="12">
                  <c:v>0.38600000000000001</c:v>
                </c:pt>
                <c:pt idx="13">
                  <c:v>0.42499999999999999</c:v>
                </c:pt>
                <c:pt idx="14">
                  <c:v>0.40799999999999997</c:v>
                </c:pt>
                <c:pt idx="15">
                  <c:v>0.40300000000000002</c:v>
                </c:pt>
                <c:pt idx="16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7-4034-8EFD-F0908E76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76335"/>
        <c:axId val="1966477999"/>
      </c:scatterChart>
      <c:valAx>
        <c:axId val="19664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7999"/>
        <c:crosses val="autoZero"/>
        <c:crossBetween val="midCat"/>
      </c:valAx>
      <c:valAx>
        <c:axId val="1966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66675</xdr:rowOff>
    </xdr:from>
    <xdr:to>
      <xdr:col>4</xdr:col>
      <xdr:colOff>400050</xdr:colOff>
      <xdr:row>32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E7C197-E309-452B-A3E4-A2926F09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19</xdr:row>
      <xdr:rowOff>9525</xdr:rowOff>
    </xdr:from>
    <xdr:to>
      <xdr:col>4</xdr:col>
      <xdr:colOff>492125</xdr:colOff>
      <xdr:row>33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C74A-BF90-4DF2-8ACE-327D1E69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18</xdr:row>
      <xdr:rowOff>174625</xdr:rowOff>
    </xdr:from>
    <xdr:to>
      <xdr:col>10</xdr:col>
      <xdr:colOff>244475</xdr:colOff>
      <xdr:row>33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F4B44-44EB-4623-8D33-C105D1F8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34</xdr:row>
      <xdr:rowOff>79375</xdr:rowOff>
    </xdr:from>
    <xdr:to>
      <xdr:col>4</xdr:col>
      <xdr:colOff>498475</xdr:colOff>
      <xdr:row>49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0B257-FDA3-41B1-A8A7-493B1F12A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15875</xdr:colOff>
      <xdr:row>34</xdr:row>
      <xdr:rowOff>9525</xdr:rowOff>
    </xdr:from>
    <xdr:to>
      <xdr:col>10</xdr:col>
      <xdr:colOff>244475</xdr:colOff>
      <xdr:row>48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68DC9-AB65-47B5-A93C-463C7719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50</xdr:row>
      <xdr:rowOff>3175</xdr:rowOff>
    </xdr:from>
    <xdr:to>
      <xdr:col>4</xdr:col>
      <xdr:colOff>498475</xdr:colOff>
      <xdr:row>64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058C83-9EFF-4AFB-9D8C-F551357D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22225</xdr:colOff>
      <xdr:row>49</xdr:row>
      <xdr:rowOff>123825</xdr:rowOff>
    </xdr:from>
    <xdr:to>
      <xdr:col>10</xdr:col>
      <xdr:colOff>250825</xdr:colOff>
      <xdr:row>64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38713B-878E-4A11-8CFE-7B04AD98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19</xdr:row>
      <xdr:rowOff>15875</xdr:rowOff>
    </xdr:from>
    <xdr:to>
      <xdr:col>4</xdr:col>
      <xdr:colOff>504825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CA0D0-3160-4E4C-A75C-5A1EC829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19</xdr:row>
      <xdr:rowOff>15875</xdr:rowOff>
    </xdr:from>
    <xdr:to>
      <xdr:col>10</xdr:col>
      <xdr:colOff>250825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300CF-9454-4F07-9C00-532EE457C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</xdr:colOff>
      <xdr:row>34</xdr:row>
      <xdr:rowOff>161925</xdr:rowOff>
    </xdr:from>
    <xdr:to>
      <xdr:col>4</xdr:col>
      <xdr:colOff>492125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AA8B8-1DB4-4E70-9723-B4A5B72DC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35</xdr:row>
      <xdr:rowOff>9525</xdr:rowOff>
    </xdr:from>
    <xdr:to>
      <xdr:col>10</xdr:col>
      <xdr:colOff>238125</xdr:colOff>
      <xdr:row>49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2147C3-6D75-4CA7-A078-1AB3DFA8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9525</xdr:rowOff>
    </xdr:from>
    <xdr:to>
      <xdr:col>4</xdr:col>
      <xdr:colOff>469900</xdr:colOff>
      <xdr:row>65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E79CF-56DB-48DE-8A49-019C0705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1400175</xdr:colOff>
      <xdr:row>51</xdr:row>
      <xdr:rowOff>3175</xdr:rowOff>
    </xdr:from>
    <xdr:to>
      <xdr:col>10</xdr:col>
      <xdr:colOff>225425</xdr:colOff>
      <xdr:row>65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20B025-8031-4028-848C-08C7BABC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4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80109-54E7-453C-A033-C0463C9EB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644525</xdr:colOff>
      <xdr:row>19</xdr:row>
      <xdr:rowOff>73025</xdr:rowOff>
    </xdr:from>
    <xdr:to>
      <xdr:col>9</xdr:col>
      <xdr:colOff>79375</xdr:colOff>
      <xdr:row>34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1646B-E97C-4F64-874A-915792E3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41275</xdr:rowOff>
    </xdr:from>
    <xdr:to>
      <xdr:col>4</xdr:col>
      <xdr:colOff>361950</xdr:colOff>
      <xdr:row>39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3BC17-9038-4141-8BDB-73CFABDB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263525</xdr:colOff>
      <xdr:row>24</xdr:row>
      <xdr:rowOff>34925</xdr:rowOff>
    </xdr:from>
    <xdr:to>
      <xdr:col>8</xdr:col>
      <xdr:colOff>307975</xdr:colOff>
      <xdr:row>39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F4F9B-A541-4DBA-AE32-8AA04548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5872-81C4-47AA-A965-640145705D07}">
  <dimension ref="A1:H17"/>
  <sheetViews>
    <sheetView workbookViewId="0">
      <selection activeCell="K5" sqref="K5"/>
    </sheetView>
  </sheetViews>
  <sheetFormatPr defaultRowHeight="14.5" x14ac:dyDescent="0.35"/>
  <cols>
    <col min="1" max="1" width="15.72656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3</v>
      </c>
      <c r="B2">
        <v>2005</v>
      </c>
      <c r="C2">
        <v>3.07</v>
      </c>
      <c r="D2">
        <v>0.38900000000000001</v>
      </c>
      <c r="E2">
        <v>93</v>
      </c>
      <c r="F2">
        <v>0.436</v>
      </c>
      <c r="G2">
        <f>(93/161)*100</f>
        <v>57.763975155279503</v>
      </c>
      <c r="H2">
        <f>(360/693)*100</f>
        <v>51.94805194805194</v>
      </c>
    </row>
    <row r="3" spans="1:8" x14ac:dyDescent="0.35">
      <c r="A3" s="1"/>
      <c r="B3">
        <v>2006</v>
      </c>
      <c r="C3">
        <v>4.03</v>
      </c>
      <c r="D3">
        <v>0.41899999999999998</v>
      </c>
      <c r="E3">
        <v>98</v>
      </c>
      <c r="F3">
        <v>0.43</v>
      </c>
      <c r="G3">
        <f>(98/174)*100</f>
        <v>56.321839080459768</v>
      </c>
      <c r="H3">
        <f>(372/735)*100</f>
        <v>50.612244897959179</v>
      </c>
    </row>
    <row r="4" spans="1:8" x14ac:dyDescent="0.35">
      <c r="A4" s="1"/>
      <c r="B4">
        <v>2007</v>
      </c>
      <c r="C4">
        <v>4.05</v>
      </c>
      <c r="D4">
        <v>0.439</v>
      </c>
      <c r="E4">
        <v>83</v>
      </c>
      <c r="F4">
        <v>0.42199999999999999</v>
      </c>
      <c r="G4">
        <f>(83/167)*100</f>
        <v>49.700598802395206</v>
      </c>
      <c r="H4">
        <f>(361/723)*100</f>
        <v>49.930843706777317</v>
      </c>
    </row>
    <row r="5" spans="1:8" x14ac:dyDescent="0.35">
      <c r="A5" s="1"/>
      <c r="B5">
        <v>2008</v>
      </c>
      <c r="C5">
        <v>4.25</v>
      </c>
      <c r="D5">
        <v>0.437</v>
      </c>
      <c r="E5">
        <v>92</v>
      </c>
      <c r="F5">
        <v>0.443</v>
      </c>
      <c r="G5">
        <f>(92/167)*100</f>
        <v>55.08982035928144</v>
      </c>
      <c r="H5">
        <f>(367/712)*100</f>
        <v>51.544943820224717</v>
      </c>
    </row>
    <row r="6" spans="1:8" x14ac:dyDescent="0.35">
      <c r="A6" s="1"/>
      <c r="B6">
        <v>2009</v>
      </c>
      <c r="C6">
        <v>4.01</v>
      </c>
      <c r="D6">
        <v>0.42399999999999999</v>
      </c>
      <c r="E6">
        <v>78</v>
      </c>
      <c r="F6">
        <v>0.41799999999999998</v>
      </c>
      <c r="G6">
        <f>(78/142)*100</f>
        <v>54.929577464788736</v>
      </c>
      <c r="H6">
        <f>(334/643)*100</f>
        <v>51.944012441679632</v>
      </c>
    </row>
    <row r="7" spans="1:8" x14ac:dyDescent="0.35">
      <c r="A7" s="1"/>
      <c r="B7">
        <v>2010</v>
      </c>
      <c r="C7">
        <v>3.51</v>
      </c>
      <c r="D7">
        <v>0.38</v>
      </c>
      <c r="E7">
        <v>63</v>
      </c>
      <c r="F7">
        <v>0.375</v>
      </c>
      <c r="G7">
        <f>(63/108)*100</f>
        <v>58.333333333333336</v>
      </c>
      <c r="H7">
        <f>(297/611)*100</f>
        <v>48.608837970540094</v>
      </c>
    </row>
    <row r="8" spans="1:8" x14ac:dyDescent="0.35">
      <c r="A8" s="1"/>
      <c r="B8">
        <v>2011</v>
      </c>
      <c r="C8">
        <v>4.5999999999999996</v>
      </c>
      <c r="D8">
        <v>0.44</v>
      </c>
      <c r="E8">
        <v>46</v>
      </c>
      <c r="F8">
        <v>0.38400000000000001</v>
      </c>
      <c r="G8">
        <f>(46/95)*100</f>
        <v>48.421052631578945</v>
      </c>
      <c r="H8">
        <f>(325/615)*100</f>
        <v>52.845528455284551</v>
      </c>
    </row>
    <row r="9" spans="1:8" x14ac:dyDescent="0.35">
      <c r="A9" s="1"/>
      <c r="B9">
        <v>2012</v>
      </c>
      <c r="C9">
        <v>3.79</v>
      </c>
      <c r="D9">
        <v>0.39600000000000002</v>
      </c>
      <c r="E9">
        <v>79</v>
      </c>
      <c r="F9">
        <v>0.38500000000000001</v>
      </c>
      <c r="G9">
        <f>(79/146)*100</f>
        <v>54.109589041095894</v>
      </c>
      <c r="H9">
        <f>(311/583)*100</f>
        <v>53.344768439108059</v>
      </c>
    </row>
    <row r="10" spans="1:8" x14ac:dyDescent="0.35">
      <c r="A10" s="1"/>
      <c r="B10">
        <v>2013</v>
      </c>
      <c r="C10">
        <v>4.9800000000000004</v>
      </c>
      <c r="D10">
        <v>0.44900000000000001</v>
      </c>
      <c r="E10">
        <v>81</v>
      </c>
      <c r="F10">
        <v>0.374</v>
      </c>
      <c r="G10">
        <f>(81/148)*100</f>
        <v>54.729729729729726</v>
      </c>
      <c r="H10">
        <f>(298/610)*100</f>
        <v>48.852459016393439</v>
      </c>
    </row>
    <row r="11" spans="1:8" x14ac:dyDescent="0.35">
      <c r="B11">
        <v>2014</v>
      </c>
      <c r="C11">
        <v>4.03</v>
      </c>
      <c r="D11">
        <v>0.39800000000000002</v>
      </c>
      <c r="E11">
        <v>90</v>
      </c>
      <c r="F11">
        <v>0.39800000000000002</v>
      </c>
      <c r="G11">
        <f>(90/163)*100</f>
        <v>55.214723926380373</v>
      </c>
      <c r="H11">
        <f>(318/629)*100</f>
        <v>50.556438791732901</v>
      </c>
    </row>
    <row r="12" spans="1:8" x14ac:dyDescent="0.35">
      <c r="B12">
        <v>2015</v>
      </c>
      <c r="C12">
        <v>3.22</v>
      </c>
      <c r="D12">
        <v>0.372</v>
      </c>
      <c r="E12">
        <v>128</v>
      </c>
      <c r="F12">
        <v>0.46200000000000002</v>
      </c>
      <c r="G12">
        <f>(128/230)*100</f>
        <v>55.652173913043477</v>
      </c>
      <c r="H12">
        <f>(367/729)*100</f>
        <v>50.342935528120712</v>
      </c>
    </row>
    <row r="13" spans="1:8" x14ac:dyDescent="0.35">
      <c r="B13">
        <v>2016</v>
      </c>
      <c r="C13">
        <v>3.4</v>
      </c>
      <c r="D13">
        <v>0.38600000000000001</v>
      </c>
      <c r="E13">
        <v>98</v>
      </c>
      <c r="F13">
        <v>0.40699999999999997</v>
      </c>
      <c r="G13">
        <f>(98/198)*100</f>
        <v>49.494949494949495</v>
      </c>
      <c r="H13">
        <f>(334/724)*100</f>
        <v>46.132596685082873</v>
      </c>
    </row>
    <row r="14" spans="1:8" x14ac:dyDescent="0.35">
      <c r="B14" s="1">
        <v>2017</v>
      </c>
      <c r="C14">
        <v>3.65</v>
      </c>
      <c r="D14">
        <v>0.38800000000000001</v>
      </c>
      <c r="E14">
        <v>115</v>
      </c>
      <c r="F14">
        <v>0.47199999999999998</v>
      </c>
      <c r="G14">
        <f>(115/238)*100</f>
        <v>48.319327731092436</v>
      </c>
      <c r="H14">
        <f>(395/896)*100</f>
        <v>44.084821428571431</v>
      </c>
    </row>
    <row r="15" spans="1:8" x14ac:dyDescent="0.35">
      <c r="B15" s="2">
        <v>2018</v>
      </c>
      <c r="C15">
        <v>3.34</v>
      </c>
      <c r="D15">
        <v>0.371</v>
      </c>
      <c r="E15">
        <v>92</v>
      </c>
      <c r="F15">
        <v>0.40300000000000002</v>
      </c>
      <c r="G15">
        <f>(92/205)*100</f>
        <v>44.878048780487809</v>
      </c>
      <c r="H15">
        <f>(373/797)*100</f>
        <v>46.800501882057716</v>
      </c>
    </row>
    <row r="16" spans="1:8" x14ac:dyDescent="0.35">
      <c r="B16">
        <v>2019</v>
      </c>
      <c r="C16">
        <v>3.72</v>
      </c>
      <c r="D16">
        <v>0.40300000000000002</v>
      </c>
      <c r="E16">
        <v>150</v>
      </c>
      <c r="F16">
        <v>0.51600000000000001</v>
      </c>
      <c r="G16">
        <f>(150/288)*100</f>
        <v>52.083333333333336</v>
      </c>
      <c r="H16">
        <f>(489/920)*100</f>
        <v>53.152173913043477</v>
      </c>
    </row>
    <row r="17" spans="2:8" x14ac:dyDescent="0.35">
      <c r="B17">
        <v>2020</v>
      </c>
      <c r="C17">
        <v>3.08</v>
      </c>
      <c r="D17">
        <v>0.33300000000000002</v>
      </c>
      <c r="E17">
        <v>33</v>
      </c>
      <c r="F17">
        <v>0.40600000000000003</v>
      </c>
      <c r="G17">
        <f>(33/69)*100</f>
        <v>47.826086956521742</v>
      </c>
      <c r="H17">
        <f>(140/279)*100</f>
        <v>50.179211469534046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492D-19A4-4782-BDE3-03573605517D}">
  <dimension ref="A1:H16"/>
  <sheetViews>
    <sheetView workbookViewId="0">
      <selection activeCell="C8" sqref="C8"/>
    </sheetView>
  </sheetViews>
  <sheetFormatPr defaultRowHeight="14.5" x14ac:dyDescent="0.35"/>
  <cols>
    <col min="1" max="1" width="12.90625" bestFit="1" customWidth="1"/>
    <col min="2" max="2" width="8.81640625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7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8</v>
      </c>
      <c r="B2">
        <v>2006</v>
      </c>
      <c r="C2">
        <v>4.07</v>
      </c>
      <c r="D2">
        <v>0.41499999999999998</v>
      </c>
      <c r="E2">
        <v>84</v>
      </c>
      <c r="F2">
        <v>0.42699999999999999</v>
      </c>
      <c r="G2">
        <f>(84/(84+98))*100</f>
        <v>46.153846153846153</v>
      </c>
      <c r="H2">
        <f>(353/(353+405))*100</f>
        <v>46.569920844327179</v>
      </c>
    </row>
    <row r="3" spans="1:8" x14ac:dyDescent="0.35">
      <c r="A3" s="1"/>
      <c r="B3">
        <v>2007</v>
      </c>
      <c r="C3">
        <v>4.8</v>
      </c>
      <c r="D3">
        <v>0.43099999999999999</v>
      </c>
      <c r="E3">
        <v>110</v>
      </c>
      <c r="F3">
        <v>0.46600000000000003</v>
      </c>
      <c r="G3">
        <f>(110/(91+110))*100</f>
        <v>54.726368159203972</v>
      </c>
      <c r="H3">
        <f>(409/(409+381))*100</f>
        <v>51.772151898734172</v>
      </c>
    </row>
    <row r="4" spans="1:8" x14ac:dyDescent="0.35">
      <c r="A4" s="1"/>
      <c r="B4">
        <v>2008</v>
      </c>
      <c r="C4">
        <v>4.3099999999999996</v>
      </c>
      <c r="D4">
        <v>0.4</v>
      </c>
      <c r="E4">
        <v>94</v>
      </c>
      <c r="F4">
        <v>0.41899999999999998</v>
      </c>
      <c r="G4">
        <f>(94/(94+114))*100</f>
        <v>45.192307692307693</v>
      </c>
      <c r="H4">
        <f>(369/(369+401))*100</f>
        <v>47.922077922077918</v>
      </c>
    </row>
    <row r="5" spans="1:8" x14ac:dyDescent="0.35">
      <c r="A5" s="1"/>
      <c r="B5">
        <v>2009</v>
      </c>
      <c r="C5">
        <v>4.51</v>
      </c>
      <c r="D5">
        <v>0.40899999999999997</v>
      </c>
      <c r="E5">
        <v>86</v>
      </c>
      <c r="F5">
        <v>0.42799999999999999</v>
      </c>
      <c r="G5">
        <f>(86/(86+73))*100</f>
        <v>54.088050314465406</v>
      </c>
      <c r="H5">
        <f>(393/(393+379))*100</f>
        <v>50.906735751295344</v>
      </c>
    </row>
    <row r="6" spans="1:8" x14ac:dyDescent="0.35">
      <c r="A6" s="1"/>
      <c r="B6">
        <v>2010</v>
      </c>
      <c r="C6">
        <v>3.9</v>
      </c>
      <c r="D6">
        <v>0.38500000000000001</v>
      </c>
      <c r="E6">
        <v>69</v>
      </c>
      <c r="F6">
        <v>0.39600000000000002</v>
      </c>
      <c r="G6">
        <f>(69/(69+83))*100</f>
        <v>45.394736842105267</v>
      </c>
      <c r="H6">
        <f>(365/(365+354))*100</f>
        <v>50.764951321279547</v>
      </c>
    </row>
    <row r="7" spans="1:8" x14ac:dyDescent="0.35">
      <c r="A7" s="1"/>
      <c r="B7">
        <v>2011</v>
      </c>
      <c r="C7">
        <v>3.71</v>
      </c>
      <c r="D7">
        <v>0.39</v>
      </c>
      <c r="E7">
        <v>72</v>
      </c>
      <c r="F7">
        <v>0.39300000000000002</v>
      </c>
      <c r="G7">
        <f>(72/(72+77))*100</f>
        <v>48.322147651006716</v>
      </c>
      <c r="H7">
        <f>(299/(299+326))*100</f>
        <v>47.839999999999996</v>
      </c>
    </row>
    <row r="8" spans="1:8" x14ac:dyDescent="0.35">
      <c r="B8">
        <v>2012</v>
      </c>
      <c r="C8">
        <v>4.05</v>
      </c>
      <c r="D8">
        <v>0.38100000000000001</v>
      </c>
      <c r="E8">
        <v>55</v>
      </c>
      <c r="F8">
        <v>0.378</v>
      </c>
      <c r="G8">
        <f>(55/137)*100</f>
        <v>40.145985401459853</v>
      </c>
      <c r="H8">
        <f>(305/609)*100</f>
        <v>50.082101806239741</v>
      </c>
    </row>
    <row r="9" spans="1:8" x14ac:dyDescent="0.35">
      <c r="B9">
        <v>2013</v>
      </c>
      <c r="C9">
        <v>3.56</v>
      </c>
      <c r="D9">
        <v>0.375</v>
      </c>
      <c r="E9">
        <v>36</v>
      </c>
      <c r="F9">
        <v>0.32900000000000001</v>
      </c>
      <c r="G9">
        <f>(36/95)*100</f>
        <v>37.894736842105267</v>
      </c>
      <c r="H9">
        <f>(276/513)*100</f>
        <v>53.801169590643269</v>
      </c>
    </row>
    <row r="10" spans="1:8" x14ac:dyDescent="0.35">
      <c r="B10">
        <v>2014</v>
      </c>
      <c r="C10">
        <v>3.39</v>
      </c>
      <c r="D10">
        <v>0.36799999999999999</v>
      </c>
      <c r="E10">
        <v>59</v>
      </c>
      <c r="F10">
        <v>0.39600000000000002</v>
      </c>
      <c r="G10">
        <f>(59/122)*100</f>
        <v>48.360655737704917</v>
      </c>
      <c r="H10">
        <f>(349/645)*100</f>
        <v>54.108527131782949</v>
      </c>
    </row>
    <row r="11" spans="1:8" x14ac:dyDescent="0.35">
      <c r="B11">
        <v>2015</v>
      </c>
      <c r="C11">
        <v>3.73</v>
      </c>
      <c r="D11">
        <v>0.374</v>
      </c>
      <c r="E11">
        <v>53</v>
      </c>
      <c r="F11">
        <v>0.377</v>
      </c>
      <c r="G11">
        <f>(53/120)*100</f>
        <v>44.166666666666664</v>
      </c>
      <c r="H11">
        <f>(306/613)*100</f>
        <v>49.9184339314845</v>
      </c>
    </row>
    <row r="12" spans="1:8" x14ac:dyDescent="0.35">
      <c r="B12" s="1">
        <v>2016</v>
      </c>
      <c r="C12">
        <v>3.53</v>
      </c>
      <c r="D12">
        <v>0.36399999999999999</v>
      </c>
      <c r="E12">
        <v>58</v>
      </c>
      <c r="F12">
        <v>0.379</v>
      </c>
      <c r="G12">
        <f>(58/128)*100</f>
        <v>45.3125</v>
      </c>
      <c r="H12">
        <f>(302/655)*100</f>
        <v>46.106870229007633</v>
      </c>
    </row>
    <row r="13" spans="1:8" x14ac:dyDescent="0.35">
      <c r="B13">
        <v>2017</v>
      </c>
      <c r="C13">
        <v>4.01</v>
      </c>
      <c r="D13">
        <v>0.38900000000000001</v>
      </c>
      <c r="E13">
        <v>95</v>
      </c>
      <c r="F13">
        <v>0.42399999999999999</v>
      </c>
      <c r="G13">
        <f>(95/194)*100</f>
        <v>48.96907216494845</v>
      </c>
      <c r="H13">
        <f>(360/778)*100</f>
        <v>46.272493573264782</v>
      </c>
    </row>
    <row r="14" spans="1:8" x14ac:dyDescent="0.35">
      <c r="B14">
        <v>2018</v>
      </c>
      <c r="C14">
        <v>3.56</v>
      </c>
      <c r="D14">
        <v>0.373</v>
      </c>
      <c r="E14">
        <v>53</v>
      </c>
      <c r="F14">
        <v>0.33800000000000002</v>
      </c>
      <c r="G14">
        <f>(53/128)*100</f>
        <v>41.40625</v>
      </c>
      <c r="H14">
        <f>(279/589)*100</f>
        <v>47.368421052631575</v>
      </c>
    </row>
    <row r="15" spans="1:8" x14ac:dyDescent="0.35">
      <c r="B15">
        <v>2019</v>
      </c>
      <c r="C15">
        <v>4.79</v>
      </c>
      <c r="D15">
        <v>0.42</v>
      </c>
      <c r="E15">
        <v>68</v>
      </c>
      <c r="F15">
        <v>0.375</v>
      </c>
      <c r="G15">
        <f>(68/146)*100</f>
        <v>46.575342465753423</v>
      </c>
      <c r="H15">
        <f>(326/615)*100</f>
        <v>53.008130081300806</v>
      </c>
    </row>
    <row r="16" spans="1:8" x14ac:dyDescent="0.35">
      <c r="B16" s="1">
        <v>2020</v>
      </c>
      <c r="C16">
        <v>4.6100000000000003</v>
      </c>
      <c r="D16">
        <v>0.45900000000000002</v>
      </c>
      <c r="E16">
        <v>24</v>
      </c>
      <c r="F16">
        <v>0.373</v>
      </c>
      <c r="G16">
        <f>(108/247)*100</f>
        <v>43.724696356275302</v>
      </c>
      <c r="H16">
        <f>(116/263)*100</f>
        <v>44.106463878326998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F0AC-EE06-40B3-9DA2-00FCDB03E711}">
  <dimension ref="A1:H18"/>
  <sheetViews>
    <sheetView workbookViewId="0">
      <selection activeCell="L47" sqref="L47"/>
    </sheetView>
  </sheetViews>
  <sheetFormatPr defaultRowHeight="14.5" x14ac:dyDescent="0.35"/>
  <cols>
    <col min="1" max="1" width="15.269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9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s="2" t="s">
        <v>10</v>
      </c>
      <c r="B2">
        <v>2003</v>
      </c>
      <c r="C2">
        <v>4.28</v>
      </c>
      <c r="D2">
        <v>0.41199999999999998</v>
      </c>
      <c r="E2">
        <v>55</v>
      </c>
      <c r="F2">
        <v>0.375</v>
      </c>
      <c r="G2">
        <f>(55/128)*100</f>
        <v>42.96875</v>
      </c>
      <c r="H2">
        <f>(306/678)*100</f>
        <v>45.132743362831853</v>
      </c>
    </row>
    <row r="3" spans="1:8" x14ac:dyDescent="0.35">
      <c r="A3" s="1"/>
      <c r="B3">
        <v>2004</v>
      </c>
      <c r="C3">
        <v>3.85</v>
      </c>
      <c r="D3">
        <v>0.40899999999999997</v>
      </c>
      <c r="E3">
        <v>57</v>
      </c>
      <c r="F3">
        <v>0.38700000000000001</v>
      </c>
      <c r="G3">
        <f>(57/139)*100</f>
        <v>41.007194244604314</v>
      </c>
      <c r="H3">
        <f>(329/768)*100</f>
        <v>42.838541666666671</v>
      </c>
    </row>
    <row r="4" spans="1:8" x14ac:dyDescent="0.35">
      <c r="A4" s="1"/>
      <c r="B4">
        <v>2005</v>
      </c>
      <c r="C4">
        <v>3.52</v>
      </c>
      <c r="D4">
        <v>0.378</v>
      </c>
      <c r="E4">
        <v>54</v>
      </c>
      <c r="F4">
        <v>0.377</v>
      </c>
      <c r="G4">
        <f>(54/130)*100</f>
        <v>41.53846153846154</v>
      </c>
      <c r="H4">
        <f>(308/684)*100</f>
        <v>45.029239766081872</v>
      </c>
    </row>
    <row r="5" spans="1:8" x14ac:dyDescent="0.35">
      <c r="A5" s="1"/>
      <c r="B5">
        <v>2006</v>
      </c>
      <c r="C5">
        <v>3.75</v>
      </c>
      <c r="D5">
        <v>0.39600000000000002</v>
      </c>
      <c r="E5">
        <v>75</v>
      </c>
      <c r="F5">
        <v>0.38800000000000001</v>
      </c>
      <c r="G5">
        <f>(75/161)*100</f>
        <v>46.58385093167702</v>
      </c>
      <c r="H5">
        <f>(315/731)*100</f>
        <v>43.091655266757869</v>
      </c>
    </row>
    <row r="6" spans="1:8" x14ac:dyDescent="0.35">
      <c r="A6" s="1"/>
      <c r="B6">
        <v>2007</v>
      </c>
      <c r="C6">
        <v>3.02</v>
      </c>
      <c r="D6">
        <v>0.33600000000000002</v>
      </c>
      <c r="E6">
        <v>72</v>
      </c>
      <c r="F6">
        <v>0.378</v>
      </c>
      <c r="G6">
        <f>(72/171)*100</f>
        <v>42.105263157894733</v>
      </c>
      <c r="H6">
        <f>(323/741)*100</f>
        <v>43.589743589743591</v>
      </c>
    </row>
    <row r="7" spans="1:8" x14ac:dyDescent="0.35">
      <c r="A7" s="1"/>
      <c r="B7">
        <v>2008</v>
      </c>
      <c r="C7">
        <v>3.65</v>
      </c>
      <c r="D7">
        <v>0.36799999999999999</v>
      </c>
      <c r="E7">
        <v>66</v>
      </c>
      <c r="F7">
        <v>0.36499999999999999</v>
      </c>
      <c r="G7">
        <f>(66/154)*100</f>
        <v>42.857142857142854</v>
      </c>
      <c r="H7">
        <f>(289/637)*100</f>
        <v>45.368916797488225</v>
      </c>
    </row>
    <row r="8" spans="1:8" x14ac:dyDescent="0.35">
      <c r="B8">
        <v>2009</v>
      </c>
      <c r="C8">
        <v>3.44</v>
      </c>
      <c r="D8">
        <v>0.35299999999999998</v>
      </c>
      <c r="E8">
        <v>61</v>
      </c>
      <c r="F8">
        <v>0.34200000000000003</v>
      </c>
      <c r="G8">
        <f>(61/141)*100</f>
        <v>43.262411347517734</v>
      </c>
      <c r="H8">
        <f>(278/638)*100</f>
        <v>43.573667711598745</v>
      </c>
    </row>
    <row r="9" spans="1:8" x14ac:dyDescent="0.35">
      <c r="B9">
        <v>2010</v>
      </c>
      <c r="C9">
        <v>2.9</v>
      </c>
      <c r="D9">
        <v>0.34499999999999997</v>
      </c>
      <c r="E9">
        <v>59</v>
      </c>
      <c r="F9">
        <v>0.35799999999999998</v>
      </c>
      <c r="G9">
        <f>(59/132)*100</f>
        <v>44.696969696969695</v>
      </c>
      <c r="H9">
        <f>(322/665)*100</f>
        <v>48.421052631578945</v>
      </c>
    </row>
    <row r="10" spans="1:8" x14ac:dyDescent="0.35">
      <c r="B10">
        <v>2011</v>
      </c>
      <c r="C10">
        <v>3.02</v>
      </c>
      <c r="D10">
        <v>0.35499999999999998</v>
      </c>
      <c r="E10">
        <v>46</v>
      </c>
      <c r="F10">
        <v>0.33400000000000002</v>
      </c>
      <c r="G10">
        <f>(46/91)*100</f>
        <v>50.549450549450547</v>
      </c>
      <c r="H10">
        <f>(255/593)*100</f>
        <v>43.001686340640809</v>
      </c>
    </row>
    <row r="11" spans="1:8" x14ac:dyDescent="0.35">
      <c r="B11" s="1">
        <v>2012</v>
      </c>
      <c r="C11">
        <v>3.35</v>
      </c>
      <c r="D11">
        <v>0.36599999999999999</v>
      </c>
      <c r="E11">
        <v>47</v>
      </c>
      <c r="F11">
        <v>0.36699999999999999</v>
      </c>
      <c r="G11">
        <f>(47/121)*100</f>
        <v>38.84297520661157</v>
      </c>
      <c r="H11">
        <f>(309/651)*100</f>
        <v>47.465437788018434</v>
      </c>
    </row>
    <row r="12" spans="1:8" x14ac:dyDescent="0.35">
      <c r="B12">
        <v>2013</v>
      </c>
      <c r="C12">
        <v>3.24</v>
      </c>
      <c r="D12">
        <v>0.373</v>
      </c>
      <c r="E12">
        <v>66</v>
      </c>
      <c r="F12">
        <v>0.36699999999999999</v>
      </c>
      <c r="G12">
        <f>(66/146)*100</f>
        <v>45.205479452054789</v>
      </c>
      <c r="H12">
        <f>(291/618)*100</f>
        <v>47.087378640776699</v>
      </c>
    </row>
    <row r="13" spans="1:8" x14ac:dyDescent="0.35">
      <c r="B13">
        <v>2014</v>
      </c>
      <c r="C13">
        <v>2.56</v>
      </c>
      <c r="D13">
        <v>0.32</v>
      </c>
      <c r="E13">
        <v>54</v>
      </c>
      <c r="F13">
        <v>0.34799999999999998</v>
      </c>
      <c r="G13">
        <f>(54/109)*100</f>
        <v>49.541284403669728</v>
      </c>
      <c r="H13">
        <f>(267/535)*100</f>
        <v>49.906542056074763</v>
      </c>
    </row>
    <row r="14" spans="1:8" x14ac:dyDescent="0.35">
      <c r="B14">
        <v>2015</v>
      </c>
      <c r="C14">
        <v>3.76</v>
      </c>
      <c r="D14">
        <v>0.40500000000000003</v>
      </c>
      <c r="E14">
        <v>74</v>
      </c>
      <c r="F14">
        <v>0.39200000000000002</v>
      </c>
      <c r="G14">
        <f>(74/148)*100</f>
        <v>50</v>
      </c>
      <c r="H14">
        <f>(321/650)*100</f>
        <v>49.38461538461538</v>
      </c>
    </row>
    <row r="15" spans="1:8" x14ac:dyDescent="0.35">
      <c r="B15">
        <v>2016</v>
      </c>
      <c r="C15">
        <v>4.13</v>
      </c>
      <c r="D15">
        <v>0.41</v>
      </c>
      <c r="E15">
        <v>83</v>
      </c>
      <c r="F15">
        <v>0.39300000000000002</v>
      </c>
      <c r="G15">
        <f>(83/177)*100</f>
        <v>46.89265536723164</v>
      </c>
      <c r="H15">
        <f>(350/686)*100</f>
        <v>51.020408163265309</v>
      </c>
    </row>
    <row r="16" spans="1:8" x14ac:dyDescent="0.35">
      <c r="B16">
        <v>2017</v>
      </c>
      <c r="C16">
        <v>3.75</v>
      </c>
      <c r="D16">
        <v>0.39200000000000002</v>
      </c>
      <c r="E16">
        <v>89</v>
      </c>
      <c r="F16">
        <v>0.39400000000000002</v>
      </c>
      <c r="G16">
        <f>(89/189)*100</f>
        <v>47.089947089947088</v>
      </c>
      <c r="H16">
        <f>(302/604)*100</f>
        <v>50</v>
      </c>
    </row>
    <row r="17" spans="2:8" x14ac:dyDescent="0.35">
      <c r="B17">
        <v>2018</v>
      </c>
      <c r="C17">
        <v>4.13</v>
      </c>
      <c r="D17">
        <v>0.41</v>
      </c>
      <c r="E17">
        <v>81</v>
      </c>
      <c r="F17">
        <v>0.378</v>
      </c>
      <c r="G17">
        <f>(81/162)*100</f>
        <v>50</v>
      </c>
      <c r="H17">
        <f>(313/617)*100</f>
        <v>50.729335494327387</v>
      </c>
    </row>
    <row r="18" spans="2:8" x14ac:dyDescent="0.35">
      <c r="B18">
        <v>2019</v>
      </c>
      <c r="C18">
        <v>4.28</v>
      </c>
      <c r="D18">
        <v>0.40899999999999997</v>
      </c>
      <c r="E18">
        <v>101</v>
      </c>
      <c r="F18">
        <v>0.38700000000000001</v>
      </c>
      <c r="G18">
        <f>(101/219)*100</f>
        <v>46.118721461187214</v>
      </c>
      <c r="H18">
        <f>(312/682)*100</f>
        <v>45.747800586510259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44B-801B-4DE8-AD35-88A661C45641}">
  <dimension ref="A1:H18"/>
  <sheetViews>
    <sheetView workbookViewId="0">
      <selection activeCell="E51" sqref="E51"/>
    </sheetView>
  </sheetViews>
  <sheetFormatPr defaultRowHeight="14.5" x14ac:dyDescent="0.35"/>
  <cols>
    <col min="1" max="1" width="14.72656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11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12</v>
      </c>
      <c r="B2">
        <v>2003</v>
      </c>
      <c r="C2">
        <v>3.54</v>
      </c>
      <c r="D2">
        <v>0.375</v>
      </c>
      <c r="E2">
        <v>69</v>
      </c>
      <c r="F2">
        <v>0.39800000000000002</v>
      </c>
      <c r="G2">
        <f>(69/139)*100</f>
        <v>49.640287769784173</v>
      </c>
      <c r="H2">
        <f>(394/795)*100</f>
        <v>49.559748427672957</v>
      </c>
    </row>
    <row r="3" spans="1:8" x14ac:dyDescent="0.35">
      <c r="A3" s="1"/>
      <c r="B3">
        <v>2004</v>
      </c>
      <c r="C3">
        <v>4.3</v>
      </c>
      <c r="D3">
        <v>0.42599999999999999</v>
      </c>
      <c r="E3">
        <v>71</v>
      </c>
      <c r="F3">
        <v>0.38500000000000001</v>
      </c>
      <c r="G3">
        <f>(71/136)*100</f>
        <v>52.205882352941181</v>
      </c>
      <c r="H3">
        <f>(313/698)*100</f>
        <v>44.842406876790832</v>
      </c>
    </row>
    <row r="4" spans="1:8" x14ac:dyDescent="0.35">
      <c r="A4" s="1"/>
      <c r="B4">
        <v>2005</v>
      </c>
      <c r="C4">
        <v>4.1500000000000004</v>
      </c>
      <c r="D4">
        <v>0.39400000000000002</v>
      </c>
      <c r="E4">
        <v>63</v>
      </c>
      <c r="F4">
        <v>0.39</v>
      </c>
      <c r="G4">
        <f>(63/130)*100</f>
        <v>48.46153846153846</v>
      </c>
      <c r="H4">
        <f>(354/699)*100</f>
        <v>50.643776824034333</v>
      </c>
    </row>
    <row r="5" spans="1:8" x14ac:dyDescent="0.35">
      <c r="A5" s="1"/>
      <c r="B5">
        <v>2006</v>
      </c>
      <c r="C5">
        <v>4.26</v>
      </c>
      <c r="D5">
        <v>0.41</v>
      </c>
      <c r="E5">
        <v>81</v>
      </c>
      <c r="F5">
        <v>0.41599999999999998</v>
      </c>
      <c r="G5">
        <f>(81/172)*100</f>
        <v>47.093023255813954</v>
      </c>
      <c r="H5">
        <f>(353/756)*100</f>
        <v>46.693121693121689</v>
      </c>
    </row>
    <row r="6" spans="1:8" x14ac:dyDescent="0.35">
      <c r="A6" s="1"/>
      <c r="B6">
        <v>2007</v>
      </c>
      <c r="C6">
        <v>4.57</v>
      </c>
      <c r="D6">
        <v>0.41899999999999998</v>
      </c>
      <c r="E6">
        <v>77</v>
      </c>
      <c r="F6">
        <v>0.41799999999999998</v>
      </c>
      <c r="G6">
        <f>(77/153)*100</f>
        <v>50.326797385620914</v>
      </c>
      <c r="H6">
        <f>(386/794)*100</f>
        <v>48.614609571788414</v>
      </c>
    </row>
    <row r="7" spans="1:8" x14ac:dyDescent="0.35">
      <c r="A7" s="1"/>
      <c r="B7">
        <v>2008</v>
      </c>
      <c r="C7">
        <v>4.4000000000000004</v>
      </c>
      <c r="D7">
        <v>0.40899999999999997</v>
      </c>
      <c r="E7">
        <v>59</v>
      </c>
      <c r="F7">
        <v>0.39800000000000002</v>
      </c>
      <c r="G7">
        <f>(59/124)*100</f>
        <v>47.580645161290327</v>
      </c>
      <c r="H7">
        <f>(337/671)*100</f>
        <v>50.22354694485842</v>
      </c>
    </row>
    <row r="8" spans="1:8" x14ac:dyDescent="0.35">
      <c r="B8">
        <v>2009</v>
      </c>
      <c r="C8">
        <v>3.62</v>
      </c>
      <c r="D8">
        <v>0.376</v>
      </c>
      <c r="E8">
        <v>76</v>
      </c>
      <c r="F8">
        <v>0.39500000000000002</v>
      </c>
      <c r="G8">
        <f>(76/160)*100</f>
        <v>47.5</v>
      </c>
      <c r="H8">
        <f>(313/640)*100</f>
        <v>48.90625</v>
      </c>
    </row>
    <row r="9" spans="1:8" x14ac:dyDescent="0.35">
      <c r="B9">
        <v>2010</v>
      </c>
      <c r="C9">
        <v>2.96</v>
      </c>
      <c r="D9">
        <v>0.33800000000000002</v>
      </c>
      <c r="E9">
        <v>35</v>
      </c>
      <c r="F9">
        <v>0.32200000000000001</v>
      </c>
      <c r="G9">
        <f>(76/160)*100</f>
        <v>47.5</v>
      </c>
      <c r="H9">
        <f>(313/640)*100</f>
        <v>48.90625</v>
      </c>
    </row>
    <row r="10" spans="1:8" x14ac:dyDescent="0.35">
      <c r="B10">
        <v>2011</v>
      </c>
      <c r="C10">
        <v>3.69</v>
      </c>
      <c r="D10">
        <v>0.36899999999999999</v>
      </c>
      <c r="E10">
        <v>57</v>
      </c>
      <c r="F10">
        <v>0.33300000000000002</v>
      </c>
      <c r="G10">
        <f>(57/109)*100</f>
        <v>52.293577981651374</v>
      </c>
      <c r="H10">
        <f>(265/556)*100</f>
        <v>47.661870503597122</v>
      </c>
    </row>
    <row r="11" spans="1:8" x14ac:dyDescent="0.35">
      <c r="B11" s="1">
        <v>2012</v>
      </c>
      <c r="C11">
        <v>2.96</v>
      </c>
      <c r="D11">
        <v>0.33800000000000002</v>
      </c>
      <c r="E11">
        <v>56</v>
      </c>
      <c r="F11">
        <v>0.33100000000000002</v>
      </c>
      <c r="G11">
        <f>(56/149)*100</f>
        <v>37.583892617449663</v>
      </c>
      <c r="H11">
        <f>(257/619)*100</f>
        <v>41.518578352180938</v>
      </c>
    </row>
    <row r="12" spans="1:8" x14ac:dyDescent="0.35">
      <c r="B12">
        <v>2013</v>
      </c>
      <c r="C12">
        <v>4.17</v>
      </c>
      <c r="D12">
        <v>0.40300000000000002</v>
      </c>
      <c r="E12">
        <v>88</v>
      </c>
      <c r="F12">
        <v>0.38700000000000001</v>
      </c>
      <c r="G12">
        <f>(88/188)*100</f>
        <v>46.808510638297875</v>
      </c>
      <c r="H12">
        <f>(310/624)*100</f>
        <v>49.679487179487182</v>
      </c>
    </row>
    <row r="13" spans="1:8" x14ac:dyDescent="0.35">
      <c r="B13">
        <v>2014</v>
      </c>
      <c r="C13">
        <v>2.93</v>
      </c>
      <c r="D13">
        <v>0.33600000000000002</v>
      </c>
      <c r="E13">
        <v>73</v>
      </c>
      <c r="F13">
        <v>0.29399999999999998</v>
      </c>
      <c r="G13">
        <f>(73/136)*100</f>
        <v>53.67647058823529</v>
      </c>
      <c r="H13">
        <f>(281/634)*100</f>
        <v>44.321766561514195</v>
      </c>
    </row>
    <row r="14" spans="1:8" x14ac:dyDescent="0.35">
      <c r="B14">
        <v>2015</v>
      </c>
      <c r="C14">
        <v>3.72</v>
      </c>
      <c r="D14">
        <v>0.38600000000000001</v>
      </c>
      <c r="E14">
        <v>90</v>
      </c>
      <c r="F14">
        <v>0.40200000000000002</v>
      </c>
      <c r="G14">
        <f>(90/198)*100</f>
        <v>45.454545454545453</v>
      </c>
      <c r="H14">
        <f>(310/656)*100</f>
        <v>47.256097560975604</v>
      </c>
    </row>
    <row r="15" spans="1:8" x14ac:dyDescent="0.35">
      <c r="B15">
        <v>2016</v>
      </c>
      <c r="C15">
        <v>3.81</v>
      </c>
      <c r="D15">
        <v>0.42499999999999999</v>
      </c>
      <c r="E15">
        <v>116</v>
      </c>
      <c r="F15">
        <v>0.43099999999999999</v>
      </c>
      <c r="G15">
        <f>(116/223)*100</f>
        <v>52.017937219730939</v>
      </c>
      <c r="H15">
        <f>(370/768)*100</f>
        <v>48.177083333333329</v>
      </c>
    </row>
    <row r="16" spans="1:8" x14ac:dyDescent="0.35">
      <c r="B16">
        <v>2017</v>
      </c>
      <c r="C16">
        <v>4</v>
      </c>
      <c r="D16">
        <v>0.40799999999999997</v>
      </c>
      <c r="E16">
        <v>97</v>
      </c>
      <c r="F16">
        <v>0.42699999999999999</v>
      </c>
      <c r="G16">
        <f>(97/200)*100</f>
        <v>48.5</v>
      </c>
      <c r="H16">
        <f>(370/750)*100</f>
        <v>49.333333333333336</v>
      </c>
    </row>
    <row r="17" spans="2:8" x14ac:dyDescent="0.35">
      <c r="B17">
        <v>2018</v>
      </c>
      <c r="C17">
        <v>3.7</v>
      </c>
      <c r="D17">
        <v>0.40300000000000002</v>
      </c>
      <c r="E17">
        <v>84</v>
      </c>
      <c r="F17">
        <v>0.39200000000000002</v>
      </c>
      <c r="G17">
        <f>(84/176)*100</f>
        <v>47.727272727272727</v>
      </c>
      <c r="H17">
        <f>(299/677)*100</f>
        <v>44.165435745937963</v>
      </c>
    </row>
    <row r="18" spans="2:8" x14ac:dyDescent="0.35">
      <c r="B18">
        <v>2019</v>
      </c>
      <c r="C18">
        <v>4.7</v>
      </c>
      <c r="D18">
        <v>0.45</v>
      </c>
      <c r="E18">
        <v>107</v>
      </c>
      <c r="F18">
        <v>0.40600000000000003</v>
      </c>
      <c r="G18">
        <f>(107/239)*100</f>
        <v>44.769874476987447</v>
      </c>
      <c r="H18">
        <f>(367/758)*100</f>
        <v>48.416886543535618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519B-9C0B-4061-8057-F93E81D92D86}">
  <dimension ref="A1:H17"/>
  <sheetViews>
    <sheetView tabSelected="1" workbookViewId="0">
      <selection activeCell="F18" sqref="F18"/>
    </sheetView>
  </sheetViews>
  <sheetFormatPr defaultRowHeight="14.5" x14ac:dyDescent="0.35"/>
  <cols>
    <col min="1" max="1" width="15.4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13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s="2" t="s">
        <v>14</v>
      </c>
      <c r="B2">
        <v>2004</v>
      </c>
      <c r="C2">
        <v>3.59</v>
      </c>
      <c r="D2">
        <v>0.39800000000000002</v>
      </c>
      <c r="E2">
        <v>92</v>
      </c>
      <c r="F2">
        <v>0.434</v>
      </c>
      <c r="G2">
        <f>(92/178)*100</f>
        <v>51.68539325842697</v>
      </c>
      <c r="H2">
        <f>(397/803)*100</f>
        <v>49.439601494396015</v>
      </c>
    </row>
    <row r="3" spans="1:8" x14ac:dyDescent="0.35">
      <c r="A3" t="s">
        <v>15</v>
      </c>
      <c r="B3">
        <v>2005</v>
      </c>
      <c r="C3">
        <v>3.82</v>
      </c>
      <c r="D3">
        <v>0.39</v>
      </c>
      <c r="E3">
        <v>89</v>
      </c>
      <c r="F3">
        <v>0.46200000000000002</v>
      </c>
      <c r="G3">
        <f>(89/184)*100</f>
        <v>48.369565217391305</v>
      </c>
      <c r="H3">
        <f>(422/769)*100</f>
        <v>54.876462938881666</v>
      </c>
    </row>
    <row r="4" spans="1:8" x14ac:dyDescent="0.35">
      <c r="A4" s="1"/>
      <c r="B4">
        <v>2006</v>
      </c>
      <c r="C4">
        <v>4.33</v>
      </c>
      <c r="D4">
        <v>0.433</v>
      </c>
      <c r="E4">
        <v>100</v>
      </c>
      <c r="F4">
        <v>0.45700000000000002</v>
      </c>
      <c r="G4">
        <f>(100/222)*100</f>
        <v>45.045045045045043</v>
      </c>
      <c r="H4">
        <f>(414/849)*100</f>
        <v>48.763250883392232</v>
      </c>
    </row>
    <row r="5" spans="1:8" x14ac:dyDescent="0.35">
      <c r="A5" s="1"/>
      <c r="B5">
        <v>2007</v>
      </c>
      <c r="C5">
        <v>3.96</v>
      </c>
      <c r="D5">
        <v>0.40699999999999997</v>
      </c>
      <c r="E5">
        <v>82</v>
      </c>
      <c r="F5">
        <v>0.41599999999999998</v>
      </c>
      <c r="G5">
        <f>(82/176)*100</f>
        <v>46.590909090909086</v>
      </c>
      <c r="H5">
        <f>(377/810)*100</f>
        <v>46.543209876543216</v>
      </c>
    </row>
    <row r="6" spans="1:8" x14ac:dyDescent="0.35">
      <c r="A6" s="1"/>
      <c r="B6">
        <v>2008</v>
      </c>
      <c r="C6">
        <v>4.4400000000000004</v>
      </c>
      <c r="D6">
        <v>0.42599999999999999</v>
      </c>
      <c r="E6">
        <v>62</v>
      </c>
      <c r="F6">
        <v>0.41099999999999998</v>
      </c>
      <c r="G6">
        <f>(62/130)*100</f>
        <v>47.692307692307693</v>
      </c>
      <c r="H6">
        <f>(384/753)*100</f>
        <v>50.996015936254977</v>
      </c>
    </row>
    <row r="7" spans="1:8" x14ac:dyDescent="0.35">
      <c r="A7" s="1"/>
      <c r="B7">
        <v>2009</v>
      </c>
      <c r="C7">
        <v>3.43</v>
      </c>
      <c r="D7">
        <v>0.37</v>
      </c>
      <c r="E7">
        <v>69</v>
      </c>
      <c r="F7">
        <v>0.39200000000000002</v>
      </c>
      <c r="G7">
        <f>(69/149)*100</f>
        <v>46.308724832214764</v>
      </c>
      <c r="H7">
        <f>(332/735)*100</f>
        <v>45.170068027210888</v>
      </c>
    </row>
    <row r="8" spans="1:8" x14ac:dyDescent="0.35">
      <c r="A8" s="1"/>
      <c r="B8">
        <v>2010</v>
      </c>
      <c r="C8">
        <v>3.18</v>
      </c>
      <c r="D8">
        <v>0.35499999999999998</v>
      </c>
      <c r="E8">
        <v>74</v>
      </c>
      <c r="F8">
        <v>0.42299999999999999</v>
      </c>
      <c r="G8">
        <f>(74/139)*100</f>
        <v>53.237410071942449</v>
      </c>
      <c r="H8">
        <f>(391/738)*100</f>
        <v>52.981029810298111</v>
      </c>
    </row>
    <row r="9" spans="1:8" x14ac:dyDescent="0.35">
      <c r="A9" s="1"/>
      <c r="B9">
        <v>2011</v>
      </c>
      <c r="C9">
        <v>3.13</v>
      </c>
      <c r="D9">
        <v>0.33500000000000002</v>
      </c>
      <c r="E9">
        <v>90</v>
      </c>
      <c r="F9">
        <v>0.40600000000000003</v>
      </c>
      <c r="G9">
        <f>(90/173)*100</f>
        <v>52.023121387283233</v>
      </c>
      <c r="H9">
        <f>(325/641)*100</f>
        <v>50.702028081123238</v>
      </c>
    </row>
    <row r="10" spans="1:8" x14ac:dyDescent="0.35">
      <c r="A10" s="1"/>
      <c r="B10">
        <v>2012</v>
      </c>
      <c r="C10">
        <v>3.39</v>
      </c>
      <c r="D10">
        <v>0.373</v>
      </c>
      <c r="E10">
        <v>70</v>
      </c>
      <c r="F10">
        <v>0.39600000000000002</v>
      </c>
      <c r="G10">
        <f>(70/149)*100</f>
        <v>46.979865771812079</v>
      </c>
      <c r="H10">
        <f>(351/700)*100</f>
        <v>50.142857142857146</v>
      </c>
    </row>
    <row r="11" spans="1:8" x14ac:dyDescent="0.35">
      <c r="A11" s="1"/>
      <c r="B11">
        <v>2013</v>
      </c>
      <c r="C11">
        <v>2.7</v>
      </c>
      <c r="D11">
        <v>0.34699999999999998</v>
      </c>
      <c r="E11">
        <v>90</v>
      </c>
      <c r="F11">
        <v>0.41899999999999998</v>
      </c>
      <c r="G11">
        <f>(90/181)*100</f>
        <v>49.723756906077348</v>
      </c>
      <c r="H11">
        <f>(364/688)*100</f>
        <v>52.906976744186053</v>
      </c>
    </row>
    <row r="12" spans="1:8" x14ac:dyDescent="0.35">
      <c r="A12" s="2"/>
      <c r="B12">
        <v>2014</v>
      </c>
      <c r="C12">
        <v>3.13</v>
      </c>
      <c r="D12">
        <v>0.36299999999999999</v>
      </c>
      <c r="E12">
        <v>62</v>
      </c>
      <c r="F12">
        <v>0.35799999999999998</v>
      </c>
      <c r="G12">
        <f>(62/123)*100</f>
        <v>50.40650406504065</v>
      </c>
      <c r="H12">
        <f>(280/573)*100</f>
        <v>48.865619546247821</v>
      </c>
    </row>
    <row r="13" spans="1:8" x14ac:dyDescent="0.35">
      <c r="B13">
        <v>2015</v>
      </c>
      <c r="C13">
        <v>3.91</v>
      </c>
      <c r="D13">
        <v>0.378</v>
      </c>
      <c r="E13">
        <v>48</v>
      </c>
      <c r="F13">
        <v>0.35899999999999999</v>
      </c>
      <c r="G13">
        <f>(48/100)*100</f>
        <v>48</v>
      </c>
      <c r="H13">
        <f>(286/573)*100</f>
        <v>49.912739965095987</v>
      </c>
    </row>
    <row r="14" spans="1:8" x14ac:dyDescent="0.35">
      <c r="B14">
        <v>2016</v>
      </c>
      <c r="C14">
        <v>4.3899999999999997</v>
      </c>
      <c r="D14">
        <v>0.39400000000000002</v>
      </c>
      <c r="E14">
        <v>52</v>
      </c>
      <c r="F14">
        <v>0.377</v>
      </c>
      <c r="G14">
        <f>(52/122)*100</f>
        <v>42.622950819672127</v>
      </c>
      <c r="H14">
        <f>(335/649)*100</f>
        <v>51.617873651771959</v>
      </c>
    </row>
    <row r="15" spans="1:8" x14ac:dyDescent="0.35">
      <c r="B15" s="1">
        <v>2017</v>
      </c>
      <c r="C15">
        <v>4.82</v>
      </c>
      <c r="D15">
        <v>0.442</v>
      </c>
      <c r="E15">
        <v>77</v>
      </c>
      <c r="F15">
        <v>0.40500000000000003</v>
      </c>
      <c r="G15">
        <f>(77/165)*100</f>
        <v>46.666666666666664</v>
      </c>
      <c r="H15">
        <f>(346/732)*100</f>
        <v>47.267759562841533</v>
      </c>
    </row>
    <row r="16" spans="1:8" x14ac:dyDescent="0.35">
      <c r="B16" s="2">
        <v>2018</v>
      </c>
      <c r="C16">
        <v>3.92</v>
      </c>
      <c r="D16">
        <v>0.36299999999999999</v>
      </c>
      <c r="E16">
        <v>78</v>
      </c>
      <c r="F16">
        <v>0.40400000000000003</v>
      </c>
      <c r="G16">
        <f>(78/175)*100</f>
        <v>44.571428571428569</v>
      </c>
      <c r="H16">
        <f>(391/759)*100</f>
        <v>51.515151515151516</v>
      </c>
    </row>
    <row r="17" spans="2:8" x14ac:dyDescent="0.35">
      <c r="B17">
        <v>2019</v>
      </c>
      <c r="C17">
        <v>4.0599999999999996</v>
      </c>
      <c r="D17">
        <v>0.41799999999999998</v>
      </c>
      <c r="E17">
        <v>131</v>
      </c>
      <c r="F17">
        <v>0.47199999999999998</v>
      </c>
      <c r="G17">
        <f>(131/249)*100</f>
        <v>52.610441767068274</v>
      </c>
      <c r="H17">
        <f>(433/855)*100</f>
        <v>50.643274853801167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949-B3EC-43F5-92CF-1DB7392694E5}">
  <dimension ref="A1:H21"/>
  <sheetViews>
    <sheetView workbookViewId="0">
      <selection activeCell="A43" sqref="A43"/>
    </sheetView>
  </sheetViews>
  <sheetFormatPr defaultRowHeight="14.5" x14ac:dyDescent="0.35"/>
  <cols>
    <col min="1" max="1" width="16.269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16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17</v>
      </c>
      <c r="B2">
        <v>2000</v>
      </c>
      <c r="C2">
        <v>5.18</v>
      </c>
      <c r="D2">
        <v>0.46899999999999997</v>
      </c>
      <c r="E2">
        <v>54</v>
      </c>
      <c r="F2">
        <v>0.42399999999999999</v>
      </c>
      <c r="G2">
        <f>(54/(54+62))*100</f>
        <v>46.551724137931032</v>
      </c>
      <c r="H2">
        <f>(411/(337+411))*100</f>
        <v>54.946524064171122</v>
      </c>
    </row>
    <row r="3" spans="1:8" x14ac:dyDescent="0.35">
      <c r="A3" t="s">
        <v>18</v>
      </c>
      <c r="B3">
        <v>2001</v>
      </c>
      <c r="C3">
        <v>4.47</v>
      </c>
      <c r="D3">
        <v>0.436</v>
      </c>
      <c r="E3">
        <v>76</v>
      </c>
      <c r="F3">
        <v>0.434</v>
      </c>
      <c r="G3">
        <f>(76/(76+88))*100</f>
        <v>46.341463414634148</v>
      </c>
      <c r="H3">
        <f>(393/(378+393))*100</f>
        <v>50.972762645914393</v>
      </c>
    </row>
    <row r="4" spans="1:8" x14ac:dyDescent="0.35">
      <c r="A4" s="1"/>
      <c r="B4">
        <v>2002</v>
      </c>
      <c r="C4">
        <v>3.76</v>
      </c>
      <c r="D4">
        <v>0.40300000000000002</v>
      </c>
      <c r="E4">
        <v>68</v>
      </c>
      <c r="F4">
        <v>0.439</v>
      </c>
      <c r="G4">
        <f>(68/(68+99))*100</f>
        <v>40.718562874251496</v>
      </c>
      <c r="H4">
        <f>(396/(373+396))*100</f>
        <v>51.495448634590382</v>
      </c>
    </row>
    <row r="5" spans="1:8" x14ac:dyDescent="0.35">
      <c r="B5">
        <v>2003</v>
      </c>
      <c r="C5">
        <v>4.5</v>
      </c>
      <c r="D5">
        <v>0.43</v>
      </c>
      <c r="E5">
        <v>76</v>
      </c>
      <c r="F5">
        <v>0.435</v>
      </c>
      <c r="G5">
        <f>(76/(76+79))*100</f>
        <v>49.032258064516128</v>
      </c>
      <c r="H5">
        <f>(399/(399+402))*100</f>
        <v>49.812734082397</v>
      </c>
    </row>
    <row r="6" spans="1:8" x14ac:dyDescent="0.35">
      <c r="B6">
        <v>2004</v>
      </c>
      <c r="C6">
        <v>3.89</v>
      </c>
      <c r="D6">
        <v>0.39700000000000002</v>
      </c>
      <c r="E6">
        <v>89</v>
      </c>
      <c r="F6">
        <v>0.42899999999999999</v>
      </c>
      <c r="G6">
        <f>(89/(89+102))*100</f>
        <v>46.596858638743456</v>
      </c>
      <c r="H6">
        <f>(407/(373+407))*100</f>
        <v>52.179487179487182</v>
      </c>
    </row>
    <row r="7" spans="1:8" x14ac:dyDescent="0.35">
      <c r="A7" s="1"/>
      <c r="B7">
        <v>2005</v>
      </c>
      <c r="C7">
        <v>3.62</v>
      </c>
      <c r="D7">
        <v>0.39</v>
      </c>
      <c r="E7">
        <v>67</v>
      </c>
      <c r="F7">
        <v>0.39900000000000002</v>
      </c>
      <c r="G7">
        <f>(67/(67+67))*100</f>
        <v>50</v>
      </c>
      <c r="H7">
        <f>(348/(348+340))*100</f>
        <v>50.581395348837212</v>
      </c>
    </row>
    <row r="8" spans="1:8" x14ac:dyDescent="0.35">
      <c r="A8" s="1"/>
      <c r="B8">
        <v>2006</v>
      </c>
      <c r="C8">
        <v>3.4</v>
      </c>
      <c r="D8">
        <v>0.39200000000000002</v>
      </c>
      <c r="E8">
        <v>69</v>
      </c>
      <c r="F8">
        <v>0.439</v>
      </c>
      <c r="G8">
        <f>(69/(74+69))*100</f>
        <v>48.251748251748253</v>
      </c>
      <c r="H8">
        <f>(421/(380+421))*100</f>
        <v>52.55930087390761</v>
      </c>
    </row>
    <row r="9" spans="1:8" x14ac:dyDescent="0.35">
      <c r="B9">
        <v>2007</v>
      </c>
      <c r="C9">
        <v>3.83</v>
      </c>
      <c r="D9">
        <v>0.40300000000000002</v>
      </c>
      <c r="E9">
        <v>48</v>
      </c>
      <c r="F9">
        <v>0.376</v>
      </c>
      <c r="G9">
        <f>(90/163)*100</f>
        <v>55.214723926380373</v>
      </c>
      <c r="H9">
        <f>(318/629)*100</f>
        <v>50.556438791732901</v>
      </c>
    </row>
    <row r="10" spans="1:8" x14ac:dyDescent="0.35">
      <c r="B10">
        <v>2008</v>
      </c>
      <c r="C10">
        <v>3.27</v>
      </c>
      <c r="D10">
        <v>0.39600000000000002</v>
      </c>
      <c r="E10">
        <v>56</v>
      </c>
      <c r="F10">
        <v>0.42899999999999999</v>
      </c>
      <c r="G10">
        <f>(128/230)*100</f>
        <v>55.652173913043477</v>
      </c>
      <c r="H10">
        <f>(367/729)*100</f>
        <v>50.342935528120712</v>
      </c>
    </row>
    <row r="11" spans="1:8" x14ac:dyDescent="0.35">
      <c r="B11">
        <v>2009</v>
      </c>
      <c r="C11">
        <v>4.49</v>
      </c>
      <c r="D11">
        <v>0.42599999999999999</v>
      </c>
      <c r="E11">
        <v>96</v>
      </c>
      <c r="F11">
        <v>0.44800000000000001</v>
      </c>
      <c r="G11">
        <f>(98/198)*100</f>
        <v>49.494949494949495</v>
      </c>
      <c r="H11">
        <f>(334/724)*100</f>
        <v>46.132596685082873</v>
      </c>
    </row>
    <row r="12" spans="1:8" x14ac:dyDescent="0.35">
      <c r="B12" s="1">
        <v>2010</v>
      </c>
      <c r="C12">
        <v>3.53</v>
      </c>
      <c r="D12">
        <v>0.39700000000000002</v>
      </c>
      <c r="E12">
        <v>52</v>
      </c>
      <c r="F12">
        <v>0.42199999999999999</v>
      </c>
      <c r="G12">
        <f>(115/238)*100</f>
        <v>48.319327731092436</v>
      </c>
      <c r="H12">
        <f>(395/896)*100</f>
        <v>44.084821428571431</v>
      </c>
    </row>
    <row r="13" spans="1:8" x14ac:dyDescent="0.35">
      <c r="B13">
        <v>2011</v>
      </c>
      <c r="C13">
        <v>4.4400000000000004</v>
      </c>
      <c r="D13">
        <v>0.42199999999999999</v>
      </c>
      <c r="E13">
        <v>46</v>
      </c>
      <c r="F13">
        <v>0.35899999999999999</v>
      </c>
      <c r="G13">
        <f>(92/205)*100</f>
        <v>44.878048780487809</v>
      </c>
      <c r="H13">
        <f>(373/797)*100</f>
        <v>46.800501882057716</v>
      </c>
    </row>
    <row r="14" spans="1:8" x14ac:dyDescent="0.35">
      <c r="B14">
        <v>2012</v>
      </c>
      <c r="C14">
        <v>4.74</v>
      </c>
      <c r="D14">
        <v>0.432</v>
      </c>
      <c r="E14">
        <v>69</v>
      </c>
      <c r="F14">
        <v>0.41499999999999998</v>
      </c>
      <c r="G14">
        <f>(150/288)*100</f>
        <v>52.083333333333336</v>
      </c>
      <c r="H14">
        <f>(489/920)*100</f>
        <v>53.152173913043477</v>
      </c>
    </row>
    <row r="15" spans="1:8" x14ac:dyDescent="0.35">
      <c r="B15">
        <v>2013</v>
      </c>
      <c r="C15">
        <v>4.54</v>
      </c>
      <c r="D15">
        <v>0.42499999999999999</v>
      </c>
      <c r="E15">
        <v>68</v>
      </c>
      <c r="F15">
        <v>0.38100000000000001</v>
      </c>
      <c r="G15">
        <f>(33/69)*100</f>
        <v>47.826086956521742</v>
      </c>
      <c r="H15">
        <f>(140/279)*100</f>
        <v>50.179211469534046</v>
      </c>
    </row>
    <row r="16" spans="1:8" x14ac:dyDescent="0.35">
      <c r="B16">
        <v>2014</v>
      </c>
      <c r="C16">
        <v>4.71</v>
      </c>
      <c r="D16">
        <v>0.43099999999999999</v>
      </c>
      <c r="E16">
        <v>67</v>
      </c>
      <c r="F16">
        <v>0.40200000000000002</v>
      </c>
      <c r="G16">
        <f>(67/128)*100</f>
        <v>52.34375</v>
      </c>
      <c r="H16">
        <f>(368/715)*100</f>
        <v>51.468531468531467</v>
      </c>
    </row>
    <row r="17" spans="2:8" x14ac:dyDescent="0.35">
      <c r="B17">
        <v>2015</v>
      </c>
      <c r="C17">
        <v>3.66</v>
      </c>
      <c r="D17">
        <v>0.40300000000000002</v>
      </c>
      <c r="E17">
        <v>85</v>
      </c>
      <c r="F17">
        <v>0.42399999999999999</v>
      </c>
      <c r="G17">
        <f>85/156*100</f>
        <v>54.487179487179482</v>
      </c>
      <c r="H17">
        <f>373/696*100</f>
        <v>53.59195402298851</v>
      </c>
    </row>
    <row r="18" spans="2:8" x14ac:dyDescent="0.35">
      <c r="B18">
        <v>2016</v>
      </c>
      <c r="C18">
        <v>5.12</v>
      </c>
      <c r="D18">
        <v>0.47</v>
      </c>
      <c r="E18">
        <v>98</v>
      </c>
      <c r="F18">
        <v>0.42399999999999999</v>
      </c>
      <c r="G18">
        <f>98/200*100</f>
        <v>49</v>
      </c>
      <c r="H18">
        <f>348/722*100</f>
        <v>48.199445983379505</v>
      </c>
    </row>
    <row r="19" spans="2:8" x14ac:dyDescent="0.35">
      <c r="B19">
        <v>2017</v>
      </c>
      <c r="C19">
        <v>4.75</v>
      </c>
      <c r="D19">
        <v>0.45700000000000002</v>
      </c>
      <c r="E19">
        <v>110</v>
      </c>
      <c r="F19">
        <v>0.45700000000000002</v>
      </c>
      <c r="G19">
        <f>110/206*100</f>
        <v>53.398058252427184</v>
      </c>
      <c r="H19">
        <f>420/815*100</f>
        <v>51.533742331288344</v>
      </c>
    </row>
    <row r="20" spans="2:8" x14ac:dyDescent="0.35">
      <c r="B20">
        <v>2018</v>
      </c>
      <c r="C20">
        <v>4.2</v>
      </c>
      <c r="D20">
        <v>0.40400000000000003</v>
      </c>
      <c r="E20">
        <v>86</v>
      </c>
      <c r="F20">
        <v>0.42899999999999999</v>
      </c>
      <c r="G20">
        <f>86/166*100</f>
        <v>51.807228915662648</v>
      </c>
      <c r="H20">
        <f>397/738*100</f>
        <v>53.794037940379404</v>
      </c>
    </row>
    <row r="21" spans="2:8" x14ac:dyDescent="0.35">
      <c r="B21">
        <v>2019</v>
      </c>
      <c r="C21">
        <v>4.32</v>
      </c>
      <c r="D21">
        <v>0.42299999999999999</v>
      </c>
      <c r="E21">
        <v>137</v>
      </c>
      <c r="F21">
        <v>0.47899999999999998</v>
      </c>
      <c r="G21">
        <f>137/307*100</f>
        <v>44.625407166123779</v>
      </c>
      <c r="H21">
        <f>442/939*100</f>
        <v>47.071352502662407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Parikh</dc:creator>
  <cp:lastModifiedBy>Arjun Parikh</cp:lastModifiedBy>
  <dcterms:created xsi:type="dcterms:W3CDTF">2021-02-07T18:33:27Z</dcterms:created>
  <dcterms:modified xsi:type="dcterms:W3CDTF">2021-03-03T02:37:40Z</dcterms:modified>
</cp:coreProperties>
</file>