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822"/>
  </bookViews>
  <sheets>
    <sheet name="Лист1" sheetId="1" r:id="rId1"/>
    <sheet name="Кор. 1" sheetId="2" r:id="rId2"/>
    <sheet name="Невязка" sheetId="3" r:id="rId3"/>
    <sheet name="Прогноз" sheetId="4" r:id="rId4"/>
    <sheet name="Тренд шум" sheetId="5" r:id="rId5"/>
    <sheet name="Кор. 2" sheetId="6" r:id="rId6"/>
  </sheets>
  <calcPr calcId="125725"/>
</workbook>
</file>

<file path=xl/calcChain.xml><?xml version="1.0" encoding="utf-8"?>
<calcChain xmlns="http://schemas.openxmlformats.org/spreadsheetml/2006/main">
  <c r="AO15" i="1"/>
  <c r="AO14"/>
  <c r="AO13"/>
  <c r="AO12"/>
  <c r="AO11"/>
  <c r="AO10"/>
  <c r="AO9"/>
  <c r="AO8"/>
  <c r="AO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7"/>
  <c r="AM33"/>
  <c r="AM34"/>
  <c r="AM35"/>
  <c r="AM36"/>
  <c r="AM37"/>
  <c r="AM38"/>
  <c r="AM39"/>
  <c r="AM40"/>
  <c r="AM41"/>
  <c r="AM19"/>
  <c r="AM20"/>
  <c r="AM21"/>
  <c r="AM22"/>
  <c r="AM23"/>
  <c r="AM24"/>
  <c r="AM25"/>
  <c r="AM26"/>
  <c r="AM27"/>
  <c r="AM28"/>
  <c r="AM29"/>
  <c r="AM30"/>
  <c r="AM31"/>
  <c r="AM32"/>
  <c r="AM7"/>
  <c r="AM8"/>
  <c r="AM9"/>
  <c r="AM10"/>
  <c r="AM11"/>
  <c r="AM12"/>
  <c r="AM13"/>
  <c r="AM14"/>
  <c r="AM15"/>
  <c r="AM16"/>
  <c r="AM17"/>
  <c r="AM18"/>
  <c r="AL42"/>
  <c r="AL43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5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K40"/>
  <c r="AK41"/>
  <c r="AK6"/>
  <c r="AK7"/>
  <c r="AK8"/>
  <c r="AK9"/>
  <c r="AK10"/>
  <c r="AK11"/>
  <c r="AK12"/>
  <c r="AK13"/>
  <c r="AK14"/>
  <c r="AK15"/>
  <c r="AK16"/>
  <c r="AK17"/>
  <c r="AK18"/>
  <c r="AK19"/>
  <c r="AK20"/>
  <c r="AK21"/>
  <c r="AK5"/>
  <c r="AJ5"/>
  <c r="AJ6"/>
  <c r="AJ7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8"/>
  <c r="AH40"/>
  <c r="AH50"/>
  <c r="AH51"/>
  <c r="AH49"/>
  <c r="C44"/>
  <c r="D44"/>
  <c r="E44" s="1"/>
  <c r="F44" s="1"/>
  <c r="G44" s="1"/>
  <c r="I44"/>
  <c r="C43"/>
  <c r="D43" s="1"/>
  <c r="E43" s="1"/>
  <c r="F43" s="1"/>
  <c r="G43" s="1"/>
  <c r="I43"/>
  <c r="C42"/>
  <c r="I42" s="1"/>
  <c r="AH47"/>
  <c r="AH46"/>
  <c r="AH45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7"/>
  <c r="D42" l="1"/>
  <c r="E42" s="1"/>
  <c r="F42" s="1"/>
  <c r="G42" s="1"/>
  <c r="J46" l="1"/>
  <c r="J47"/>
  <c r="C41" l="1"/>
  <c r="D41" s="1"/>
  <c r="E41" s="1"/>
  <c r="F41" s="1"/>
  <c r="G41" s="1"/>
  <c r="C40"/>
  <c r="D40" s="1"/>
  <c r="E40" s="1"/>
  <c r="F40" s="1"/>
  <c r="G40" s="1"/>
  <c r="C39"/>
  <c r="D39" s="1"/>
  <c r="E39" s="1"/>
  <c r="F39" s="1"/>
  <c r="G39" s="1"/>
  <c r="C38"/>
  <c r="D38" s="1"/>
  <c r="E38" s="1"/>
  <c r="F38" s="1"/>
  <c r="G38" s="1"/>
  <c r="C37"/>
  <c r="D37" s="1"/>
  <c r="E37" s="1"/>
  <c r="F37" s="1"/>
  <c r="G37" s="1"/>
  <c r="C36"/>
  <c r="D36" s="1"/>
  <c r="E36" s="1"/>
  <c r="F36" s="1"/>
  <c r="G36" s="1"/>
  <c r="C35"/>
  <c r="D35" s="1"/>
  <c r="E35" s="1"/>
  <c r="F35" s="1"/>
  <c r="G35" s="1"/>
  <c r="C34"/>
  <c r="D34" s="1"/>
  <c r="E34" s="1"/>
  <c r="F34" s="1"/>
  <c r="G34" s="1"/>
  <c r="C33"/>
  <c r="D33" s="1"/>
  <c r="E33" s="1"/>
  <c r="F33" s="1"/>
  <c r="G33" s="1"/>
  <c r="C32"/>
  <c r="D32" s="1"/>
  <c r="E32" s="1"/>
  <c r="F32" s="1"/>
  <c r="G32" s="1"/>
  <c r="C31"/>
  <c r="D31" s="1"/>
  <c r="E31" s="1"/>
  <c r="F31" s="1"/>
  <c r="G31" s="1"/>
  <c r="C30"/>
  <c r="D30" s="1"/>
  <c r="E30" s="1"/>
  <c r="F30" s="1"/>
  <c r="G30" s="1"/>
  <c r="C29"/>
  <c r="D29" s="1"/>
  <c r="E29" s="1"/>
  <c r="F29" s="1"/>
  <c r="G29" s="1"/>
  <c r="C28"/>
  <c r="D28" s="1"/>
  <c r="E28" s="1"/>
  <c r="F28" s="1"/>
  <c r="G28" s="1"/>
  <c r="C27"/>
  <c r="D27" s="1"/>
  <c r="E27" s="1"/>
  <c r="F27" s="1"/>
  <c r="G27" s="1"/>
  <c r="C26"/>
  <c r="D26" s="1"/>
  <c r="E26" s="1"/>
  <c r="F26" s="1"/>
  <c r="G26" s="1"/>
  <c r="C25"/>
  <c r="D25" s="1"/>
  <c r="E25" s="1"/>
  <c r="F25" s="1"/>
  <c r="G25" s="1"/>
  <c r="C24"/>
  <c r="D24" s="1"/>
  <c r="E24" s="1"/>
  <c r="F24" s="1"/>
  <c r="G24" s="1"/>
  <c r="C23"/>
  <c r="D23" s="1"/>
  <c r="E23" s="1"/>
  <c r="F23" s="1"/>
  <c r="G23" s="1"/>
  <c r="C22"/>
  <c r="D22" s="1"/>
  <c r="E22" s="1"/>
  <c r="F22" s="1"/>
  <c r="G22" s="1"/>
  <c r="C21"/>
  <c r="D21" s="1"/>
  <c r="E21" s="1"/>
  <c r="F21" s="1"/>
  <c r="G21" s="1"/>
  <c r="C20"/>
  <c r="D20" s="1"/>
  <c r="E20" s="1"/>
  <c r="F20" s="1"/>
  <c r="G20" s="1"/>
  <c r="C19"/>
  <c r="D19" s="1"/>
  <c r="E19" s="1"/>
  <c r="F19" s="1"/>
  <c r="G19" s="1"/>
  <c r="C18"/>
  <c r="D18" s="1"/>
  <c r="E18" s="1"/>
  <c r="F18" s="1"/>
  <c r="G18" s="1"/>
  <c r="C17"/>
  <c r="D17" s="1"/>
  <c r="E17" s="1"/>
  <c r="F17" s="1"/>
  <c r="G17" s="1"/>
  <c r="C16"/>
  <c r="D16" s="1"/>
  <c r="E16" s="1"/>
  <c r="F16" s="1"/>
  <c r="G16" s="1"/>
  <c r="C15"/>
  <c r="D15" s="1"/>
  <c r="E15" s="1"/>
  <c r="F15" s="1"/>
  <c r="G15" s="1"/>
  <c r="C14"/>
  <c r="D14" s="1"/>
  <c r="E14" s="1"/>
  <c r="F14" s="1"/>
  <c r="G14" s="1"/>
  <c r="C13"/>
  <c r="D13" s="1"/>
  <c r="E13" s="1"/>
  <c r="F13" s="1"/>
  <c r="G13" s="1"/>
  <c r="C12"/>
  <c r="D12" s="1"/>
  <c r="E12" s="1"/>
  <c r="F12" s="1"/>
  <c r="G12" s="1"/>
  <c r="C11"/>
  <c r="D11" s="1"/>
  <c r="E11" s="1"/>
  <c r="F11" s="1"/>
  <c r="G11" s="1"/>
  <c r="C10"/>
  <c r="D10" s="1"/>
  <c r="E10" s="1"/>
  <c r="F10" s="1"/>
  <c r="G10" s="1"/>
  <c r="C9"/>
  <c r="D9" s="1"/>
  <c r="E9" s="1"/>
  <c r="F9" s="1"/>
  <c r="G9" s="1"/>
  <c r="C8"/>
  <c r="D8" s="1"/>
  <c r="E8" s="1"/>
  <c r="F8" s="1"/>
  <c r="G8" s="1"/>
  <c r="C7"/>
  <c r="D7" s="1"/>
  <c r="E7" s="1"/>
  <c r="F7" s="1"/>
  <c r="G7" s="1"/>
  <c r="C6"/>
  <c r="D6" s="1"/>
  <c r="E6" s="1"/>
  <c r="F6" s="1"/>
  <c r="G6" s="1"/>
  <c r="C5"/>
  <c r="D5" s="1"/>
  <c r="E5" s="1"/>
  <c r="F5" s="1"/>
  <c r="G5" s="1"/>
  <c r="C4"/>
  <c r="D4" s="1"/>
  <c r="E4" s="1"/>
  <c r="F4" s="1"/>
  <c r="G4" s="1"/>
  <c r="C3"/>
  <c r="D3" s="1"/>
  <c r="E3" s="1"/>
  <c r="F3" s="1"/>
  <c r="G3" s="1"/>
  <c r="C2"/>
  <c r="B47" s="1" a="1"/>
  <c r="B47" s="1"/>
  <c r="D2" l="1"/>
  <c r="E2" s="1"/>
  <c r="F2" s="1"/>
  <c r="G2" s="1"/>
  <c r="C48"/>
  <c r="D49"/>
  <c r="B51"/>
  <c r="C47"/>
  <c r="D48"/>
  <c r="B50"/>
  <c r="C51"/>
  <c r="D47"/>
  <c r="B49"/>
  <c r="C50"/>
  <c r="D51"/>
  <c r="B48"/>
  <c r="C49"/>
  <c r="D50"/>
  <c r="I4" l="1"/>
  <c r="I6"/>
  <c r="I8"/>
  <c r="I10"/>
  <c r="I12"/>
  <c r="I14"/>
  <c r="I16"/>
  <c r="I18"/>
  <c r="I20"/>
  <c r="I22"/>
  <c r="I24"/>
  <c r="I26"/>
  <c r="I28"/>
  <c r="I30"/>
  <c r="I32"/>
  <c r="I34"/>
  <c r="I36"/>
  <c r="I38"/>
  <c r="I40"/>
  <c r="I2"/>
  <c r="I3"/>
  <c r="I5"/>
  <c r="I7"/>
  <c r="I9"/>
  <c r="I11"/>
  <c r="I13"/>
  <c r="I15"/>
  <c r="I17"/>
  <c r="I19"/>
  <c r="I21"/>
  <c r="I23"/>
  <c r="I25"/>
  <c r="I27"/>
  <c r="I29"/>
  <c r="I31"/>
  <c r="I33"/>
  <c r="I35"/>
  <c r="I37"/>
  <c r="I39"/>
  <c r="I41"/>
  <c r="AC34" l="1"/>
  <c r="AD35"/>
  <c r="AC30"/>
  <c r="AE34"/>
  <c r="AD31"/>
  <c r="AF35"/>
  <c r="AC26"/>
  <c r="AE30"/>
  <c r="AD27"/>
  <c r="AF31"/>
  <c r="AC22"/>
  <c r="AE26"/>
  <c r="AD23"/>
  <c r="AF27"/>
  <c r="AC18"/>
  <c r="AE22"/>
  <c r="AD19"/>
  <c r="AF23"/>
  <c r="AC14"/>
  <c r="AE18"/>
  <c r="AD15"/>
  <c r="AF19"/>
  <c r="AC10"/>
  <c r="AE14"/>
  <c r="AD11"/>
  <c r="AF15"/>
  <c r="AC6"/>
  <c r="AE10"/>
  <c r="AD7"/>
  <c r="AF11"/>
  <c r="AE6"/>
  <c r="W2"/>
  <c r="AD3"/>
  <c r="AF7"/>
  <c r="AC2"/>
  <c r="AF3"/>
  <c r="AE2"/>
  <c r="W35"/>
  <c r="AC35"/>
  <c r="AC31"/>
  <c r="AE35"/>
  <c r="AD32"/>
  <c r="AC27"/>
  <c r="AE31"/>
  <c r="AD28"/>
  <c r="AF32"/>
  <c r="AC23"/>
  <c r="AE27"/>
  <c r="AD24"/>
  <c r="AF28"/>
  <c r="AC19"/>
  <c r="AE23"/>
  <c r="AD20"/>
  <c r="AF24"/>
  <c r="AC15"/>
  <c r="AE19"/>
  <c r="AD16"/>
  <c r="AF20"/>
  <c r="AC11"/>
  <c r="AE15"/>
  <c r="AD12"/>
  <c r="AF16"/>
  <c r="AC7"/>
  <c r="AE11"/>
  <c r="AD8"/>
  <c r="AF12"/>
  <c r="AC3"/>
  <c r="AE7"/>
  <c r="AD4"/>
  <c r="AF8"/>
  <c r="AE3"/>
  <c r="AF4"/>
  <c r="AC32"/>
  <c r="AD33"/>
  <c r="AC28"/>
  <c r="AE32"/>
  <c r="AD29"/>
  <c r="AF33"/>
  <c r="AC24"/>
  <c r="AE28"/>
  <c r="AD25"/>
  <c r="AF29"/>
  <c r="AC20"/>
  <c r="AE24"/>
  <c r="AD21"/>
  <c r="AF25"/>
  <c r="AC16"/>
  <c r="AE20"/>
  <c r="AD17"/>
  <c r="AF21"/>
  <c r="AC12"/>
  <c r="AE16"/>
  <c r="AD13"/>
  <c r="AF17"/>
  <c r="AC8"/>
  <c r="AE12"/>
  <c r="AD9"/>
  <c r="AF13"/>
  <c r="AC4"/>
  <c r="AE8"/>
  <c r="AD5"/>
  <c r="AF9"/>
  <c r="AE4"/>
  <c r="AF5"/>
  <c r="AA2"/>
  <c r="AF2"/>
  <c r="AC33"/>
  <c r="AD34"/>
  <c r="AC29"/>
  <c r="AE33"/>
  <c r="AD30"/>
  <c r="AF34"/>
  <c r="AC25"/>
  <c r="AE29"/>
  <c r="AD26"/>
  <c r="AF30"/>
  <c r="AC21"/>
  <c r="AE25"/>
  <c r="AD22"/>
  <c r="AF26"/>
  <c r="AC17"/>
  <c r="AE21"/>
  <c r="AD18"/>
  <c r="AF22"/>
  <c r="AC13"/>
  <c r="AE17"/>
  <c r="AD14"/>
  <c r="AF18"/>
  <c r="AC9"/>
  <c r="AE13"/>
  <c r="AD10"/>
  <c r="AF14"/>
  <c r="AC5"/>
  <c r="AE9"/>
  <c r="AD6"/>
  <c r="AF10"/>
  <c r="AE5"/>
  <c r="AD2"/>
  <c r="AF6"/>
  <c r="AA3"/>
  <c r="Z2"/>
  <c r="W32"/>
  <c r="X33"/>
  <c r="Y34"/>
  <c r="Z35"/>
  <c r="AA33"/>
  <c r="W28"/>
  <c r="X29"/>
  <c r="Y30"/>
  <c r="Z31"/>
  <c r="AA29"/>
  <c r="W24"/>
  <c r="X25"/>
  <c r="Y26"/>
  <c r="Z27"/>
  <c r="AA25"/>
  <c r="W20"/>
  <c r="X21"/>
  <c r="Y22"/>
  <c r="Z23"/>
  <c r="AA21"/>
  <c r="W16"/>
  <c r="X17"/>
  <c r="Y18"/>
  <c r="Z19"/>
  <c r="AA17"/>
  <c r="W12"/>
  <c r="X13"/>
  <c r="Y14"/>
  <c r="Z15"/>
  <c r="AA13"/>
  <c r="W8"/>
  <c r="X9"/>
  <c r="Y10"/>
  <c r="Z11"/>
  <c r="AA9"/>
  <c r="W4"/>
  <c r="X5"/>
  <c r="Y6"/>
  <c r="Z7"/>
  <c r="AA5"/>
  <c r="Z3"/>
  <c r="Y2"/>
  <c r="W33"/>
  <c r="X34"/>
  <c r="Y35"/>
  <c r="W29"/>
  <c r="X30"/>
  <c r="Y31"/>
  <c r="Z32"/>
  <c r="AA34"/>
  <c r="W25"/>
  <c r="X26"/>
  <c r="Y27"/>
  <c r="Z28"/>
  <c r="AA30"/>
  <c r="W21"/>
  <c r="X22"/>
  <c r="Y23"/>
  <c r="Z24"/>
  <c r="AA26"/>
  <c r="W17"/>
  <c r="X18"/>
  <c r="Y19"/>
  <c r="Z20"/>
  <c r="AA22"/>
  <c r="W13"/>
  <c r="X14"/>
  <c r="Y15"/>
  <c r="Z16"/>
  <c r="AA18"/>
  <c r="W9"/>
  <c r="X10"/>
  <c r="Y11"/>
  <c r="Z12"/>
  <c r="AA14"/>
  <c r="W5"/>
  <c r="X6"/>
  <c r="Y7"/>
  <c r="Z8"/>
  <c r="AA10"/>
  <c r="Y3"/>
  <c r="Z4"/>
  <c r="X2"/>
  <c r="AA6"/>
  <c r="Q2"/>
  <c r="W34"/>
  <c r="X35"/>
  <c r="AA35"/>
  <c r="W30"/>
  <c r="X31"/>
  <c r="Y32"/>
  <c r="Z33"/>
  <c r="AA31"/>
  <c r="W26"/>
  <c r="X27"/>
  <c r="Y28"/>
  <c r="Z29"/>
  <c r="AA27"/>
  <c r="W22"/>
  <c r="X23"/>
  <c r="Y24"/>
  <c r="Z25"/>
  <c r="AA23"/>
  <c r="W18"/>
  <c r="X19"/>
  <c r="Y20"/>
  <c r="Z21"/>
  <c r="AA19"/>
  <c r="W14"/>
  <c r="X15"/>
  <c r="Y16"/>
  <c r="Z17"/>
  <c r="AA15"/>
  <c r="W10"/>
  <c r="X11"/>
  <c r="Y12"/>
  <c r="Z13"/>
  <c r="AA11"/>
  <c r="W6"/>
  <c r="X7"/>
  <c r="Y8"/>
  <c r="Z9"/>
  <c r="AA7"/>
  <c r="X3"/>
  <c r="Y4"/>
  <c r="Z5"/>
  <c r="P2"/>
  <c r="W31"/>
  <c r="X32"/>
  <c r="Y33"/>
  <c r="Z34"/>
  <c r="W27"/>
  <c r="X28"/>
  <c r="Y29"/>
  <c r="Z30"/>
  <c r="AA32"/>
  <c r="W23"/>
  <c r="X24"/>
  <c r="Y25"/>
  <c r="Z26"/>
  <c r="AA28"/>
  <c r="W19"/>
  <c r="X20"/>
  <c r="Y21"/>
  <c r="Z22"/>
  <c r="AA24"/>
  <c r="W15"/>
  <c r="X16"/>
  <c r="Y17"/>
  <c r="Z18"/>
  <c r="AA20"/>
  <c r="W11"/>
  <c r="X12"/>
  <c r="Y13"/>
  <c r="Z14"/>
  <c r="AA16"/>
  <c r="W7"/>
  <c r="X8"/>
  <c r="Y9"/>
  <c r="Z10"/>
  <c r="AA12"/>
  <c r="W3"/>
  <c r="X4"/>
  <c r="Y5"/>
  <c r="Z6"/>
  <c r="AA8"/>
  <c r="AA4"/>
  <c r="P34"/>
  <c r="J39"/>
  <c r="K39" s="1"/>
  <c r="Q35"/>
  <c r="O33"/>
  <c r="R32"/>
  <c r="T34"/>
  <c r="P30"/>
  <c r="J35"/>
  <c r="K35" s="1"/>
  <c r="Q31"/>
  <c r="S33"/>
  <c r="U35"/>
  <c r="O29"/>
  <c r="R28"/>
  <c r="T30"/>
  <c r="P26"/>
  <c r="J31"/>
  <c r="K31" s="1"/>
  <c r="Q27"/>
  <c r="S29"/>
  <c r="U31"/>
  <c r="O25"/>
  <c r="R24"/>
  <c r="T26"/>
  <c r="P22"/>
  <c r="J27"/>
  <c r="K27" s="1"/>
  <c r="Q23"/>
  <c r="S25"/>
  <c r="U27"/>
  <c r="O21"/>
  <c r="R20"/>
  <c r="T22"/>
  <c r="P18"/>
  <c r="Q19"/>
  <c r="S21"/>
  <c r="U23"/>
  <c r="O17"/>
  <c r="J23"/>
  <c r="K23" s="1"/>
  <c r="R16"/>
  <c r="T18"/>
  <c r="P14"/>
  <c r="Q15"/>
  <c r="S17"/>
  <c r="U19"/>
  <c r="O13"/>
  <c r="J19"/>
  <c r="K19" s="1"/>
  <c r="R12"/>
  <c r="T14"/>
  <c r="P10"/>
  <c r="Q11"/>
  <c r="S13"/>
  <c r="U15"/>
  <c r="O9"/>
  <c r="J15"/>
  <c r="K15" s="1"/>
  <c r="R8"/>
  <c r="T10"/>
  <c r="P6"/>
  <c r="Q7"/>
  <c r="S9"/>
  <c r="U11"/>
  <c r="O5"/>
  <c r="J11"/>
  <c r="K11" s="1"/>
  <c r="R4"/>
  <c r="T6"/>
  <c r="Q3"/>
  <c r="S5"/>
  <c r="U7"/>
  <c r="J7"/>
  <c r="K7" s="1"/>
  <c r="T2"/>
  <c r="U3"/>
  <c r="J3"/>
  <c r="K3" s="1"/>
  <c r="O34"/>
  <c r="P35"/>
  <c r="J40"/>
  <c r="K40" s="1"/>
  <c r="R33"/>
  <c r="T35"/>
  <c r="O30"/>
  <c r="Q32"/>
  <c r="S34"/>
  <c r="P31"/>
  <c r="J36"/>
  <c r="K36" s="1"/>
  <c r="R29"/>
  <c r="T31"/>
  <c r="U32"/>
  <c r="O26"/>
  <c r="Q28"/>
  <c r="S30"/>
  <c r="P27"/>
  <c r="J32"/>
  <c r="K32" s="1"/>
  <c r="R25"/>
  <c r="T27"/>
  <c r="U28"/>
  <c r="O22"/>
  <c r="Q24"/>
  <c r="S26"/>
  <c r="P23"/>
  <c r="J28"/>
  <c r="K28" s="1"/>
  <c r="R21"/>
  <c r="T23"/>
  <c r="U24"/>
  <c r="O18"/>
  <c r="J24"/>
  <c r="K24" s="1"/>
  <c r="Q20"/>
  <c r="S22"/>
  <c r="P19"/>
  <c r="R17"/>
  <c r="T19"/>
  <c r="U20"/>
  <c r="O14"/>
  <c r="J20"/>
  <c r="K20" s="1"/>
  <c r="Q16"/>
  <c r="S18"/>
  <c r="P15"/>
  <c r="R13"/>
  <c r="T15"/>
  <c r="U16"/>
  <c r="O10"/>
  <c r="J16"/>
  <c r="K16" s="1"/>
  <c r="Q12"/>
  <c r="S14"/>
  <c r="P11"/>
  <c r="R9"/>
  <c r="T11"/>
  <c r="U12"/>
  <c r="O6"/>
  <c r="J12"/>
  <c r="K12" s="1"/>
  <c r="Q8"/>
  <c r="S10"/>
  <c r="P7"/>
  <c r="R5"/>
  <c r="T7"/>
  <c r="U8"/>
  <c r="J8"/>
  <c r="K8" s="1"/>
  <c r="Q4"/>
  <c r="S6"/>
  <c r="P3"/>
  <c r="O2"/>
  <c r="T3"/>
  <c r="S2"/>
  <c r="U4"/>
  <c r="J4"/>
  <c r="K4" s="1"/>
  <c r="J41"/>
  <c r="K41" s="1"/>
  <c r="O35"/>
  <c r="R34"/>
  <c r="P32"/>
  <c r="J37"/>
  <c r="K37" s="1"/>
  <c r="Q33"/>
  <c r="S35"/>
  <c r="O31"/>
  <c r="R30"/>
  <c r="T32"/>
  <c r="P28"/>
  <c r="J33"/>
  <c r="K33" s="1"/>
  <c r="Q29"/>
  <c r="S31"/>
  <c r="U33"/>
  <c r="O27"/>
  <c r="R26"/>
  <c r="T28"/>
  <c r="P24"/>
  <c r="J29"/>
  <c r="K29" s="1"/>
  <c r="Q25"/>
  <c r="S27"/>
  <c r="U29"/>
  <c r="O23"/>
  <c r="R22"/>
  <c r="T24"/>
  <c r="P20"/>
  <c r="Q21"/>
  <c r="S23"/>
  <c r="U25"/>
  <c r="O19"/>
  <c r="J25"/>
  <c r="K25" s="1"/>
  <c r="R18"/>
  <c r="T20"/>
  <c r="P16"/>
  <c r="Q17"/>
  <c r="S19"/>
  <c r="U21"/>
  <c r="O15"/>
  <c r="J21"/>
  <c r="K21" s="1"/>
  <c r="R14"/>
  <c r="T16"/>
  <c r="P12"/>
  <c r="Q13"/>
  <c r="S15"/>
  <c r="U17"/>
  <c r="O11"/>
  <c r="J17"/>
  <c r="K17" s="1"/>
  <c r="R10"/>
  <c r="T12"/>
  <c r="P8"/>
  <c r="Q9"/>
  <c r="S11"/>
  <c r="U13"/>
  <c r="O7"/>
  <c r="J13"/>
  <c r="K13" s="1"/>
  <c r="R6"/>
  <c r="T8"/>
  <c r="P4"/>
  <c r="O3"/>
  <c r="Q5"/>
  <c r="S7"/>
  <c r="U9"/>
  <c r="J9"/>
  <c r="K9" s="1"/>
  <c r="T4"/>
  <c r="S3"/>
  <c r="R2"/>
  <c r="U5"/>
  <c r="J5"/>
  <c r="K5" s="1"/>
  <c r="U2"/>
  <c r="J2"/>
  <c r="R35"/>
  <c r="O32"/>
  <c r="Q34"/>
  <c r="P33"/>
  <c r="J38"/>
  <c r="K38" s="1"/>
  <c r="R31"/>
  <c r="T33"/>
  <c r="U34"/>
  <c r="O28"/>
  <c r="Q30"/>
  <c r="S32"/>
  <c r="P29"/>
  <c r="J34"/>
  <c r="K34" s="1"/>
  <c r="R27"/>
  <c r="T29"/>
  <c r="U30"/>
  <c r="O24"/>
  <c r="Q26"/>
  <c r="S28"/>
  <c r="P25"/>
  <c r="J30"/>
  <c r="K30" s="1"/>
  <c r="R23"/>
  <c r="T25"/>
  <c r="U26"/>
  <c r="O20"/>
  <c r="J26"/>
  <c r="K26" s="1"/>
  <c r="Q22"/>
  <c r="S24"/>
  <c r="P21"/>
  <c r="R19"/>
  <c r="T21"/>
  <c r="U22"/>
  <c r="O16"/>
  <c r="J22"/>
  <c r="K22" s="1"/>
  <c r="Q18"/>
  <c r="S20"/>
  <c r="P17"/>
  <c r="R15"/>
  <c r="T17"/>
  <c r="U18"/>
  <c r="O12"/>
  <c r="J18"/>
  <c r="K18" s="1"/>
  <c r="Q14"/>
  <c r="S16"/>
  <c r="P13"/>
  <c r="R11"/>
  <c r="T13"/>
  <c r="U14"/>
  <c r="O8"/>
  <c r="J14"/>
  <c r="K14" s="1"/>
  <c r="Q10"/>
  <c r="S12"/>
  <c r="P9"/>
  <c r="R7"/>
  <c r="T9"/>
  <c r="U10"/>
  <c r="O4"/>
  <c r="J10"/>
  <c r="K10" s="1"/>
  <c r="Q6"/>
  <c r="S8"/>
  <c r="P5"/>
  <c r="R3"/>
  <c r="T5"/>
  <c r="U6"/>
  <c r="J6"/>
  <c r="K6" s="1"/>
  <c r="S4"/>
  <c r="AD41" l="1" a="1"/>
  <c r="Y49" a="1"/>
  <c r="X41" a="1"/>
  <c r="P40" a="1"/>
  <c r="Q49" a="1"/>
  <c r="K2"/>
  <c r="X41" l="1"/>
  <c r="X46" s="1"/>
  <c r="AA45"/>
  <c r="AA44"/>
  <c r="AA43"/>
  <c r="AA42"/>
  <c r="AA41"/>
  <c r="Z45"/>
  <c r="Z44"/>
  <c r="Z43"/>
  <c r="Z42"/>
  <c r="Z41"/>
  <c r="Z46" s="1"/>
  <c r="Y45"/>
  <c r="Y44"/>
  <c r="Y43"/>
  <c r="Y42"/>
  <c r="Y41"/>
  <c r="X45"/>
  <c r="X44"/>
  <c r="X43"/>
  <c r="X42"/>
  <c r="AE41"/>
  <c r="AE46" s="1"/>
  <c r="AE42"/>
  <c r="AE43"/>
  <c r="AE44"/>
  <c r="AE45"/>
  <c r="AD41"/>
  <c r="AD42"/>
  <c r="AD43"/>
  <c r="AD44"/>
  <c r="AD45"/>
  <c r="Y49"/>
  <c r="Z53"/>
  <c r="Y52"/>
  <c r="AA50"/>
  <c r="Z49"/>
  <c r="Z54" s="1"/>
  <c r="Y53"/>
  <c r="AA51"/>
  <c r="Z50"/>
  <c r="AA52"/>
  <c r="Z51"/>
  <c r="Y50"/>
  <c r="AA53"/>
  <c r="Z52"/>
  <c r="Y51"/>
  <c r="AA49"/>
  <c r="Q49"/>
  <c r="R53"/>
  <c r="S52"/>
  <c r="T51"/>
  <c r="U50"/>
  <c r="Q50"/>
  <c r="R49"/>
  <c r="S53"/>
  <c r="T52"/>
  <c r="U51"/>
  <c r="Q51"/>
  <c r="R50"/>
  <c r="S49"/>
  <c r="T53"/>
  <c r="U52"/>
  <c r="Q52"/>
  <c r="R51"/>
  <c r="S50"/>
  <c r="T49"/>
  <c r="U53"/>
  <c r="Q53"/>
  <c r="R52"/>
  <c r="S51"/>
  <c r="T50"/>
  <c r="U49"/>
  <c r="U54" s="1"/>
  <c r="P40"/>
  <c r="U44"/>
  <c r="Q44"/>
  <c r="S43"/>
  <c r="U42"/>
  <c r="Q42"/>
  <c r="S41"/>
  <c r="U40"/>
  <c r="Q40"/>
  <c r="R44"/>
  <c r="T43"/>
  <c r="P43"/>
  <c r="R42"/>
  <c r="T41"/>
  <c r="P41"/>
  <c r="R40"/>
  <c r="S44"/>
  <c r="U43"/>
  <c r="Q43"/>
  <c r="S42"/>
  <c r="U41"/>
  <c r="Q41"/>
  <c r="S40"/>
  <c r="T44"/>
  <c r="P44"/>
  <c r="R43"/>
  <c r="T42"/>
  <c r="P42"/>
  <c r="R41"/>
  <c r="T40"/>
  <c r="K43"/>
  <c r="K42"/>
  <c r="S45"/>
  <c r="T45"/>
  <c r="AA54" l="1"/>
  <c r="Y54"/>
  <c r="T54"/>
  <c r="S54"/>
  <c r="R54"/>
  <c r="Q54"/>
  <c r="AD46"/>
  <c r="Y46"/>
  <c r="AA46"/>
  <c r="Q45"/>
  <c r="P45"/>
  <c r="L9"/>
  <c r="L5"/>
  <c r="L10"/>
  <c r="L6"/>
  <c r="L11"/>
  <c r="L7"/>
  <c r="L3"/>
  <c r="L8"/>
  <c r="L4"/>
  <c r="U45"/>
  <c r="R45"/>
</calcChain>
</file>

<file path=xl/sharedStrings.xml><?xml version="1.0" encoding="utf-8"?>
<sst xmlns="http://schemas.openxmlformats.org/spreadsheetml/2006/main" count="85" uniqueCount="56">
  <si>
    <t>z</t>
  </si>
  <si>
    <t>t</t>
  </si>
  <si>
    <t>t^2</t>
  </si>
  <si>
    <t>t^3</t>
  </si>
  <si>
    <t>t^4</t>
  </si>
  <si>
    <t>t^5</t>
  </si>
  <si>
    <t>t^6</t>
  </si>
  <si>
    <t>y2</t>
  </si>
  <si>
    <t>a2</t>
  </si>
  <si>
    <t>a1</t>
  </si>
  <si>
    <t>a0</t>
  </si>
  <si>
    <t>a</t>
  </si>
  <si>
    <t>Sa</t>
  </si>
  <si>
    <t>R^2, Sz</t>
  </si>
  <si>
    <t>F, k</t>
  </si>
  <si>
    <t>Sreg, Sost</t>
  </si>
  <si>
    <t>Ei = z-y^2</t>
  </si>
  <si>
    <t>Ei^2</t>
  </si>
  <si>
    <t>D:</t>
  </si>
  <si>
    <t>Ri</t>
  </si>
  <si>
    <t>D10:</t>
  </si>
  <si>
    <t>Interval:</t>
  </si>
  <si>
    <t>Interval?</t>
  </si>
  <si>
    <t>p</t>
  </si>
  <si>
    <t>Z</t>
  </si>
  <si>
    <t>X1</t>
  </si>
  <si>
    <t>X2</t>
  </si>
  <si>
    <t>X3</t>
  </si>
  <si>
    <t>X4</t>
  </si>
  <si>
    <t>X5</t>
  </si>
  <si>
    <t>X6</t>
  </si>
  <si>
    <t>a3</t>
  </si>
  <si>
    <t>a4</t>
  </si>
  <si>
    <t>a5</t>
  </si>
  <si>
    <t>a6</t>
  </si>
  <si>
    <t>z = a1X1 + a2X2 + a5X5 - the best</t>
  </si>
  <si>
    <t>Zmod</t>
  </si>
  <si>
    <t>S41</t>
  </si>
  <si>
    <t>S42</t>
  </si>
  <si>
    <t>S43</t>
  </si>
  <si>
    <t>Y41</t>
  </si>
  <si>
    <t>Y42</t>
  </si>
  <si>
    <t>Y43</t>
  </si>
  <si>
    <t>Прогноз</t>
  </si>
  <si>
    <t>ei</t>
  </si>
  <si>
    <t>yi</t>
  </si>
  <si>
    <t>ei^2</t>
  </si>
  <si>
    <t>Yinf</t>
  </si>
  <si>
    <t>Ri-2</t>
  </si>
  <si>
    <t>ei-Zmod</t>
  </si>
  <si>
    <t>Дисперсії</t>
  </si>
  <si>
    <t>D(Є)</t>
  </si>
  <si>
    <t>D(E)</t>
  </si>
  <si>
    <t>Для всієї виборки</t>
  </si>
  <si>
    <t>Для 10-ти точок</t>
  </si>
  <si>
    <t>Інтервали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</si>
</sst>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164" fontId="3" fillId="0" borderId="7" xfId="1" applyNumberFormat="1" applyBorder="1"/>
    <xf numFmtId="164" fontId="3" fillId="0" borderId="8" xfId="1" applyNumberFormat="1" applyBorder="1"/>
    <xf numFmtId="0" fontId="2" fillId="0" borderId="0" xfId="0" applyFont="1" applyBorder="1" applyAlignment="1">
      <alignment horizontal="right"/>
    </xf>
    <xf numFmtId="2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Fill="1" applyBorder="1"/>
    <xf numFmtId="165" fontId="0" fillId="0" borderId="0" xfId="0" applyNumberFormat="1"/>
    <xf numFmtId="2" fontId="2" fillId="0" borderId="0" xfId="0" applyNumberFormat="1" applyFont="1"/>
    <xf numFmtId="2" fontId="0" fillId="0" borderId="12" xfId="0" applyNumberFormat="1" applyBorder="1"/>
    <xf numFmtId="2" fontId="0" fillId="0" borderId="0" xfId="0" applyNumberFormat="1" applyBorder="1"/>
    <xf numFmtId="2" fontId="0" fillId="0" borderId="3" xfId="0" applyNumberFormat="1" applyBorder="1"/>
    <xf numFmtId="2" fontId="0" fillId="0" borderId="1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2" fillId="0" borderId="14" xfId="0" applyFont="1" applyBorder="1" applyAlignment="1">
      <alignment horizontal="right"/>
    </xf>
    <xf numFmtId="0" fontId="0" fillId="0" borderId="0" xfId="0" applyFont="1"/>
    <xf numFmtId="0" fontId="0" fillId="0" borderId="0" xfId="0" applyFill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165" fontId="0" fillId="0" borderId="0" xfId="0" applyNumberFormat="1" applyBorder="1"/>
    <xf numFmtId="165" fontId="0" fillId="0" borderId="4" xfId="0" applyNumberFormat="1" applyBorder="1"/>
    <xf numFmtId="164" fontId="0" fillId="0" borderId="0" xfId="0" applyNumberFormat="1" applyBorder="1"/>
    <xf numFmtId="164" fontId="0" fillId="0" borderId="4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1" fillId="0" borderId="0" xfId="0" applyFont="1"/>
    <xf numFmtId="0" fontId="1" fillId="0" borderId="0" xfId="0" applyFont="1" applyBorder="1"/>
    <xf numFmtId="0" fontId="4" fillId="0" borderId="0" xfId="0" applyFont="1"/>
    <xf numFmtId="0" fontId="4" fillId="0" borderId="13" xfId="0" applyFont="1" applyBorder="1"/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15" xfId="0" applyBorder="1"/>
    <xf numFmtId="0" fontId="0" fillId="0" borderId="3" xfId="0" applyFill="1" applyBorder="1"/>
    <xf numFmtId="2" fontId="0" fillId="0" borderId="15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5" xfId="0" applyFill="1" applyBorder="1"/>
    <xf numFmtId="2" fontId="0" fillId="0" borderId="15" xfId="0" applyNumberFormat="1" applyBorder="1"/>
    <xf numFmtId="2" fontId="2" fillId="2" borderId="0" xfId="0" applyNumberFormat="1" applyFont="1" applyFill="1"/>
    <xf numFmtId="0" fontId="0" fillId="0" borderId="14" xfId="0" applyBorder="1"/>
    <xf numFmtId="0" fontId="0" fillId="0" borderId="2" xfId="0" applyBorder="1"/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lineChart>
        <c:grouping val="standard"/>
        <c:ser>
          <c:idx val="0"/>
          <c:order val="0"/>
          <c:tx>
            <c:strRef>
              <c:f>Лист1!$L$1</c:f>
              <c:strCache>
                <c:ptCount val="1"/>
                <c:pt idx="0">
                  <c:v>Ri</c:v>
                </c:pt>
              </c:strCache>
            </c:strRef>
          </c:tx>
          <c:val>
            <c:numRef>
              <c:f>Лист1!$L$2:$L$11</c:f>
              <c:numCache>
                <c:formatCode>0.000</c:formatCode>
                <c:ptCount val="10"/>
                <c:pt idx="0">
                  <c:v>1</c:v>
                </c:pt>
                <c:pt idx="1">
                  <c:v>0.65981924779280565</c:v>
                </c:pt>
                <c:pt idx="2">
                  <c:v>0.48765230927748632</c:v>
                </c:pt>
                <c:pt idx="3">
                  <c:v>0.35286707602800077</c:v>
                </c:pt>
                <c:pt idx="4">
                  <c:v>0.11732404507787678</c:v>
                </c:pt>
                <c:pt idx="5">
                  <c:v>1.6380315113113712E-2</c:v>
                </c:pt>
                <c:pt idx="6">
                  <c:v>-0.20267502409552315</c:v>
                </c:pt>
                <c:pt idx="7">
                  <c:v>-0.35543763509002968</c:v>
                </c:pt>
                <c:pt idx="8">
                  <c:v>-0.54038716520410157</c:v>
                </c:pt>
                <c:pt idx="9">
                  <c:v>-0.58230544491823788</c:v>
                </c:pt>
              </c:numCache>
            </c:numRef>
          </c:val>
        </c:ser>
        <c:marker val="1"/>
        <c:axId val="136797568"/>
        <c:axId val="113583232"/>
      </c:lineChart>
      <c:catAx>
        <c:axId val="136797568"/>
        <c:scaling>
          <c:orientation val="minMax"/>
        </c:scaling>
        <c:axPos val="b"/>
        <c:tickLblPos val="nextTo"/>
        <c:crossAx val="113583232"/>
        <c:crosses val="autoZero"/>
        <c:auto val="1"/>
        <c:lblAlgn val="ctr"/>
        <c:lblOffset val="100"/>
      </c:catAx>
      <c:valAx>
        <c:axId val="113583232"/>
        <c:scaling>
          <c:orientation val="minMax"/>
        </c:scaling>
        <c:axPos val="l"/>
        <c:majorGridlines/>
        <c:numFmt formatCode="0.000" sourceLinked="1"/>
        <c:tickLblPos val="nextTo"/>
        <c:crossAx val="136797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Лист1!$J$1</c:f>
              <c:strCache>
                <c:ptCount val="1"/>
                <c:pt idx="0">
                  <c:v>Ei = z-y^2</c:v>
                </c:pt>
              </c:strCache>
            </c:strRef>
          </c:tx>
          <c:val>
            <c:numRef>
              <c:f>Лист1!$J$2:$J$41</c:f>
              <c:numCache>
                <c:formatCode>0.00</c:formatCode>
                <c:ptCount val="40"/>
                <c:pt idx="0">
                  <c:v>-0.86092805997266031</c:v>
                </c:pt>
                <c:pt idx="1">
                  <c:v>2.7073906102108802E-2</c:v>
                </c:pt>
                <c:pt idx="2">
                  <c:v>-1.8120733734379908</c:v>
                </c:pt>
                <c:pt idx="3">
                  <c:v>-0.935504643128244</c:v>
                </c:pt>
                <c:pt idx="4">
                  <c:v>-1.8200280041093821</c:v>
                </c:pt>
                <c:pt idx="5">
                  <c:v>-0.19800475950775187</c:v>
                </c:pt>
                <c:pt idx="6">
                  <c:v>-1.9897929131702257</c:v>
                </c:pt>
                <c:pt idx="7">
                  <c:v>-0.11134824524096976</c:v>
                </c:pt>
                <c:pt idx="8">
                  <c:v>1.4756124484359265</c:v>
                </c:pt>
                <c:pt idx="9">
                  <c:v>0.79043718305270527</c:v>
                </c:pt>
                <c:pt idx="10">
                  <c:v>2.2899831616307713</c:v>
                </c:pt>
                <c:pt idx="11">
                  <c:v>2.6888412573494644</c:v>
                </c:pt>
                <c:pt idx="12">
                  <c:v>2.7839769645635677</c:v>
                </c:pt>
                <c:pt idx="13">
                  <c:v>1.8535103415417646</c:v>
                </c:pt>
                <c:pt idx="14">
                  <c:v>1.2345336450626432</c:v>
                </c:pt>
                <c:pt idx="15">
                  <c:v>1.3901006976164645</c:v>
                </c:pt>
                <c:pt idx="16">
                  <c:v>1.9718021760787563</c:v>
                </c:pt>
                <c:pt idx="17">
                  <c:v>0.65167567496960466</c:v>
                </c:pt>
                <c:pt idx="18">
                  <c:v>1.4709369760842446</c:v>
                </c:pt>
                <c:pt idx="19">
                  <c:v>-0.39022090956046984</c:v>
                </c:pt>
                <c:pt idx="20">
                  <c:v>-1.8162367854810002</c:v>
                </c:pt>
                <c:pt idx="21">
                  <c:v>-0.44059998679409507</c:v>
                </c:pt>
                <c:pt idx="22">
                  <c:v>-0.44207069515265651</c:v>
                </c:pt>
                <c:pt idx="23">
                  <c:v>-2.384392923650255</c:v>
                </c:pt>
                <c:pt idx="24">
                  <c:v>-1.4375192642862551</c:v>
                </c:pt>
                <c:pt idx="25">
                  <c:v>-3.2258557427764432</c:v>
                </c:pt>
                <c:pt idx="26">
                  <c:v>-1.9609809139025547</c:v>
                </c:pt>
                <c:pt idx="27">
                  <c:v>-1.355881289036958</c:v>
                </c:pt>
                <c:pt idx="28">
                  <c:v>0.26891494372659785</c:v>
                </c:pt>
                <c:pt idx="29">
                  <c:v>-1.0739274842695021</c:v>
                </c:pt>
                <c:pt idx="30">
                  <c:v>-0.42513843156455167</c:v>
                </c:pt>
                <c:pt idx="31">
                  <c:v>-0.26435296888893589</c:v>
                </c:pt>
                <c:pt idx="32">
                  <c:v>-9.5644082096514538E-2</c:v>
                </c:pt>
                <c:pt idx="33">
                  <c:v>-1.3532983786663291</c:v>
                </c:pt>
                <c:pt idx="34">
                  <c:v>0.26554396383862233</c:v>
                </c:pt>
                <c:pt idx="35">
                  <c:v>0.4580231229813414</c:v>
                </c:pt>
                <c:pt idx="36">
                  <c:v>1.5159065322123233</c:v>
                </c:pt>
                <c:pt idx="37">
                  <c:v>0.86675171361706838</c:v>
                </c:pt>
                <c:pt idx="38">
                  <c:v>1.0830011451099804</c:v>
                </c:pt>
                <c:pt idx="39">
                  <c:v>1.3071740007197619</c:v>
                </c:pt>
              </c:numCache>
            </c:numRef>
          </c:val>
        </c:ser>
        <c:ser>
          <c:idx val="1"/>
          <c:order val="1"/>
          <c:tx>
            <c:strRef>
              <c:f>Лист1!$AH$1</c:f>
              <c:strCache>
                <c:ptCount val="1"/>
                <c:pt idx="0">
                  <c:v>Zmod</c:v>
                </c:pt>
              </c:strCache>
            </c:strRef>
          </c:tx>
          <c:spPr>
            <a:ln>
              <a:prstDash val="sysDot"/>
            </a:ln>
          </c:spPr>
          <c:marker>
            <c:symbol val="circle"/>
            <c:size val="4"/>
          </c:marker>
          <c:val>
            <c:numRef>
              <c:f>Лист1!$AH$2:$AH$40</c:f>
              <c:numCache>
                <c:formatCode>General</c:formatCode>
                <c:ptCount val="39"/>
                <c:pt idx="5">
                  <c:v>-0.75318449430621237</c:v>
                </c:pt>
                <c:pt idx="6">
                  <c:v>-0.75300521138087695</c:v>
                </c:pt>
                <c:pt idx="7">
                  <c:v>-0.5523981489988159</c:v>
                </c:pt>
                <c:pt idx="8">
                  <c:v>1.1683982306023328</c:v>
                </c:pt>
                <c:pt idx="9">
                  <c:v>0.99304158233583839</c:v>
                </c:pt>
                <c:pt idx="10">
                  <c:v>1.9666895885554432</c:v>
                </c:pt>
                <c:pt idx="11">
                  <c:v>2.2948171857993511</c:v>
                </c:pt>
                <c:pt idx="12">
                  <c:v>2.1353264343944987</c:v>
                </c:pt>
                <c:pt idx="13">
                  <c:v>1.8132236422543013</c:v>
                </c:pt>
                <c:pt idx="14">
                  <c:v>0.8168893533754007</c:v>
                </c:pt>
                <c:pt idx="15">
                  <c:v>0.59596648487903991</c:v>
                </c:pt>
                <c:pt idx="16">
                  <c:v>0.94665864120536747</c:v>
                </c:pt>
                <c:pt idx="17">
                  <c:v>0.63734536008908571</c:v>
                </c:pt>
                <c:pt idx="18">
                  <c:v>0.75738746489438324</c:v>
                </c:pt>
                <c:pt idx="19">
                  <c:v>-3.948528349426661E-3</c:v>
                </c:pt>
                <c:pt idx="20">
                  <c:v>-1.5638700740028764</c:v>
                </c:pt>
                <c:pt idx="21">
                  <c:v>-1.0224295295510553</c:v>
                </c:pt>
                <c:pt idx="22">
                  <c:v>-0.72150153783071103</c:v>
                </c:pt>
                <c:pt idx="23">
                  <c:v>-1.3687292067321737</c:v>
                </c:pt>
                <c:pt idx="24">
                  <c:v>-1.2189248576844731</c:v>
                </c:pt>
                <c:pt idx="25">
                  <c:v>-2.1659345867894113</c:v>
                </c:pt>
                <c:pt idx="26">
                  <c:v>-2.1041610459021127</c:v>
                </c:pt>
                <c:pt idx="27">
                  <c:v>-0.89988226463522569</c:v>
                </c:pt>
                <c:pt idx="28">
                  <c:v>-1.1270857281490188E-2</c:v>
                </c:pt>
                <c:pt idx="29">
                  <c:v>0.2233778545170822</c:v>
                </c:pt>
                <c:pt idx="30">
                  <c:v>-0.17468732658107777</c:v>
                </c:pt>
                <c:pt idx="31">
                  <c:v>6.8352572370785625E-3</c:v>
                </c:pt>
                <c:pt idx="32">
                  <c:v>-0.2045429039133107</c:v>
                </c:pt>
                <c:pt idx="33">
                  <c:v>-0.53352926256355648</c:v>
                </c:pt>
                <c:pt idx="34">
                  <c:v>-0.23640118901962492</c:v>
                </c:pt>
                <c:pt idx="35">
                  <c:v>0.40150603804497598</c:v>
                </c:pt>
                <c:pt idx="36">
                  <c:v>1.0084654472322203</c:v>
                </c:pt>
                <c:pt idx="37">
                  <c:v>1.3046466916837292</c:v>
                </c:pt>
                <c:pt idx="38">
                  <c:v>0.83603090874760477</c:v>
                </c:pt>
              </c:numCache>
            </c:numRef>
          </c:val>
        </c:ser>
        <c:marker val="1"/>
        <c:axId val="64206336"/>
        <c:axId val="64207872"/>
      </c:lineChart>
      <c:catAx>
        <c:axId val="64206336"/>
        <c:scaling>
          <c:orientation val="minMax"/>
        </c:scaling>
        <c:axPos val="b"/>
        <c:tickLblPos val="nextTo"/>
        <c:crossAx val="64207872"/>
        <c:crosses val="autoZero"/>
        <c:auto val="1"/>
        <c:lblAlgn val="ctr"/>
        <c:lblOffset val="100"/>
      </c:catAx>
      <c:valAx>
        <c:axId val="64207872"/>
        <c:scaling>
          <c:orientation val="minMax"/>
        </c:scaling>
        <c:axPos val="l"/>
        <c:majorGridlines/>
        <c:numFmt formatCode="0.00" sourceLinked="1"/>
        <c:tickLblPos val="nextTo"/>
        <c:crossAx val="64206336"/>
        <c:crosses val="autoZero"/>
        <c:crossBetween val="between"/>
      </c:valAx>
    </c:plotArea>
    <c:legend>
      <c:legendPos val="tr"/>
      <c:layout/>
      <c:overlay val="1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val>
            <c:numRef>
              <c:f>Лист1!$A$2:$A$44</c:f>
              <c:numCache>
                <c:formatCode>0.0</c:formatCode>
                <c:ptCount val="43"/>
                <c:pt idx="0">
                  <c:v>-0.45288958699976523</c:v>
                </c:pt>
                <c:pt idx="1">
                  <c:v>0.8814404954188072</c:v>
                </c:pt>
                <c:pt idx="2">
                  <c:v>-0.51930209189425458</c:v>
                </c:pt>
                <c:pt idx="3">
                  <c:v>0.78774790652576498</c:v>
                </c:pt>
                <c:pt idx="4">
                  <c:v>0.32578238953813426</c:v>
                </c:pt>
                <c:pt idx="5">
                  <c:v>2.3624400540165067</c:v>
                </c:pt>
                <c:pt idx="6">
                  <c:v>0.97736289611400939</c:v>
                </c:pt>
                <c:pt idx="7">
                  <c:v>3.2545951356864773</c:v>
                </c:pt>
                <c:pt idx="8">
                  <c:v>5.232419976889819</c:v>
                </c:pt>
                <c:pt idx="9">
                  <c:v>4.9301854349162797</c:v>
                </c:pt>
                <c:pt idx="10">
                  <c:v>6.8047487127872603</c:v>
                </c:pt>
                <c:pt idx="11">
                  <c:v>7.5707006836821051</c:v>
                </c:pt>
                <c:pt idx="12">
                  <c:v>8.0250068419555927</c:v>
                </c:pt>
                <c:pt idx="13">
                  <c:v>7.4457872458764101</c:v>
                </c:pt>
                <c:pt idx="14">
                  <c:v>7.1701341522231425</c:v>
                </c:pt>
                <c:pt idx="15">
                  <c:v>7.661101383486054</c:v>
                </c:pt>
                <c:pt idx="16">
                  <c:v>8.5702796165406685</c:v>
                </c:pt>
                <c:pt idx="17">
                  <c:v>7.5697064459070749</c:v>
                </c:pt>
                <c:pt idx="18">
                  <c:v>8.7005976533805089</c:v>
                </c:pt>
                <c:pt idx="19">
                  <c:v>7.1431462499778213</c:v>
                </c:pt>
                <c:pt idx="20">
                  <c:v>6.0129134321825548</c:v>
                </c:pt>
                <c:pt idx="21">
                  <c:v>7.6764098648779564</c:v>
                </c:pt>
                <c:pt idx="22">
                  <c:v>7.9548753664111285</c:v>
                </c:pt>
                <c:pt idx="23">
                  <c:v>6.2845659236884952</c:v>
                </c:pt>
                <c:pt idx="24">
                  <c:v>7.4955289447106974</c:v>
                </c:pt>
                <c:pt idx="25">
                  <c:v>5.9633584037619451</c:v>
                </c:pt>
                <c:pt idx="26">
                  <c:v>7.4764757460605065</c:v>
                </c:pt>
                <c:pt idx="27">
                  <c:v>8.3218944602340077</c:v>
                </c:pt>
                <c:pt idx="28">
                  <c:v>10.179086358188703</c:v>
                </c:pt>
                <c:pt idx="29">
                  <c:v>9.0607161712669786</c:v>
                </c:pt>
                <c:pt idx="30">
                  <c:v>9.9260540409295395</c:v>
                </c:pt>
                <c:pt idx="31">
                  <c:v>10.295464896445999</c:v>
                </c:pt>
                <c:pt idx="32">
                  <c:v>10.6648757519625</c:v>
                </c:pt>
                <c:pt idx="33">
                  <c:v>9.6</c:v>
                </c:pt>
                <c:pt idx="34">
                  <c:v>11.403697462995501</c:v>
                </c:pt>
                <c:pt idx="35">
                  <c:v>11.773108318512</c:v>
                </c:pt>
                <c:pt idx="36">
                  <c:v>13</c:v>
                </c:pt>
                <c:pt idx="37">
                  <c:v>12.511930029545001</c:v>
                </c:pt>
                <c:pt idx="38">
                  <c:v>12.8813408850614</c:v>
                </c:pt>
                <c:pt idx="39">
                  <c:v>13.250751740577901</c:v>
                </c:pt>
              </c:numCache>
            </c:numRef>
          </c:val>
        </c:ser>
        <c:ser>
          <c:idx val="1"/>
          <c:order val="1"/>
          <c:tx>
            <c:strRef>
              <c:f>Лист1!$I$1</c:f>
              <c:strCache>
                <c:ptCount val="1"/>
                <c:pt idx="0">
                  <c:v>y2</c:v>
                </c:pt>
              </c:strCache>
            </c:strRef>
          </c:tx>
          <c:marker>
            <c:symbol val="none"/>
          </c:marker>
          <c:val>
            <c:numRef>
              <c:f>Лист1!$I$2:$I$44</c:f>
              <c:numCache>
                <c:formatCode>0.00</c:formatCode>
                <c:ptCount val="43"/>
                <c:pt idx="0">
                  <c:v>0.40803847297289508</c:v>
                </c:pt>
                <c:pt idx="1">
                  <c:v>0.8543665893166984</c:v>
                </c:pt>
                <c:pt idx="2">
                  <c:v>1.2927712815437362</c:v>
                </c:pt>
                <c:pt idx="3">
                  <c:v>1.723252549654009</c:v>
                </c:pt>
                <c:pt idx="4">
                  <c:v>2.1458103936475164</c:v>
                </c:pt>
                <c:pt idx="5">
                  <c:v>2.5604448135242586</c:v>
                </c:pt>
                <c:pt idx="6">
                  <c:v>2.9671558092842352</c:v>
                </c:pt>
                <c:pt idx="7">
                  <c:v>3.365943380927447</c:v>
                </c:pt>
                <c:pt idx="8">
                  <c:v>3.7568075284538924</c:v>
                </c:pt>
                <c:pt idx="9">
                  <c:v>4.1397482518635744</c:v>
                </c:pt>
                <c:pt idx="10">
                  <c:v>4.514765551156489</c:v>
                </c:pt>
                <c:pt idx="11">
                  <c:v>4.8818594263326407</c:v>
                </c:pt>
                <c:pt idx="12">
                  <c:v>5.241029877392025</c:v>
                </c:pt>
                <c:pt idx="13">
                  <c:v>5.5922769043346454</c:v>
                </c:pt>
                <c:pt idx="14">
                  <c:v>5.9356005071604994</c:v>
                </c:pt>
                <c:pt idx="15">
                  <c:v>6.2710006858695895</c:v>
                </c:pt>
                <c:pt idx="16">
                  <c:v>6.5984774404619122</c:v>
                </c:pt>
                <c:pt idx="17">
                  <c:v>6.9180307709374702</c:v>
                </c:pt>
                <c:pt idx="18">
                  <c:v>7.2296606772962644</c:v>
                </c:pt>
                <c:pt idx="19">
                  <c:v>7.5333671595382912</c:v>
                </c:pt>
                <c:pt idx="20">
                  <c:v>7.829150217663555</c:v>
                </c:pt>
                <c:pt idx="21">
                  <c:v>8.1170098516720515</c:v>
                </c:pt>
                <c:pt idx="22">
                  <c:v>8.396946061563785</c:v>
                </c:pt>
                <c:pt idx="23">
                  <c:v>8.6689588473387502</c:v>
                </c:pt>
                <c:pt idx="24">
                  <c:v>8.9330482089969525</c:v>
                </c:pt>
                <c:pt idx="25">
                  <c:v>9.1892141465383883</c:v>
                </c:pt>
                <c:pt idx="26">
                  <c:v>9.4374566599630612</c:v>
                </c:pt>
                <c:pt idx="27">
                  <c:v>9.6777757492709657</c:v>
                </c:pt>
                <c:pt idx="28">
                  <c:v>9.9101714144621056</c:v>
                </c:pt>
                <c:pt idx="29">
                  <c:v>10.134643655536481</c:v>
                </c:pt>
                <c:pt idx="30">
                  <c:v>10.351192472494091</c:v>
                </c:pt>
                <c:pt idx="31">
                  <c:v>10.559817865334935</c:v>
                </c:pt>
                <c:pt idx="32">
                  <c:v>10.760519834059014</c:v>
                </c:pt>
                <c:pt idx="33">
                  <c:v>10.953298378666329</c:v>
                </c:pt>
                <c:pt idx="34">
                  <c:v>11.138153499156878</c:v>
                </c:pt>
                <c:pt idx="35">
                  <c:v>11.315085195530658</c:v>
                </c:pt>
                <c:pt idx="36">
                  <c:v>11.484093467787677</c:v>
                </c:pt>
                <c:pt idx="37">
                  <c:v>11.645178315927932</c:v>
                </c:pt>
                <c:pt idx="38">
                  <c:v>11.79833973995142</c:v>
                </c:pt>
                <c:pt idx="39">
                  <c:v>11.943577739858139</c:v>
                </c:pt>
                <c:pt idx="40">
                  <c:v>12.080892315648097</c:v>
                </c:pt>
                <c:pt idx="41">
                  <c:v>12.21028346732129</c:v>
                </c:pt>
                <c:pt idx="42">
                  <c:v>12.331751194877716</c:v>
                </c:pt>
              </c:numCache>
            </c:numRef>
          </c:val>
        </c:ser>
        <c:ser>
          <c:idx val="2"/>
          <c:order val="2"/>
          <c:tx>
            <c:strRef>
              <c:f>Лист1!$AI$1</c:f>
              <c:strCache>
                <c:ptCount val="1"/>
                <c:pt idx="0">
                  <c:v>Прогноз</c:v>
                </c:pt>
              </c:strCache>
            </c:strRef>
          </c:tx>
          <c:marker>
            <c:symbol val="none"/>
          </c:marker>
          <c:val>
            <c:numRef>
              <c:f>Лист1!$AI$2:$AI$44</c:f>
              <c:numCache>
                <c:formatCode>General</c:formatCode>
                <c:ptCount val="43"/>
                <c:pt idx="39" formatCode="0.00">
                  <c:v>12.98</c:v>
                </c:pt>
                <c:pt idx="40" formatCode="0.00">
                  <c:v>12.92</c:v>
                </c:pt>
                <c:pt idx="41" formatCode="0.00">
                  <c:v>12.75</c:v>
                </c:pt>
              </c:numCache>
            </c:numRef>
          </c:val>
        </c:ser>
        <c:marker val="1"/>
        <c:axId val="139022720"/>
        <c:axId val="139036928"/>
      </c:lineChart>
      <c:catAx>
        <c:axId val="139022720"/>
        <c:scaling>
          <c:orientation val="minMax"/>
        </c:scaling>
        <c:axPos val="b"/>
        <c:tickLblPos val="nextTo"/>
        <c:crossAx val="139036928"/>
        <c:crosses val="autoZero"/>
        <c:auto val="1"/>
        <c:lblAlgn val="ctr"/>
        <c:lblOffset val="100"/>
      </c:catAx>
      <c:valAx>
        <c:axId val="139036928"/>
        <c:scaling>
          <c:orientation val="minMax"/>
        </c:scaling>
        <c:axPos val="l"/>
        <c:majorGridlines/>
        <c:numFmt formatCode="0.0" sourceLinked="1"/>
        <c:tickLblPos val="nextTo"/>
        <c:crossAx val="139022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Лист1!$A$1</c:f>
              <c:strCache>
                <c:ptCount val="1"/>
                <c:pt idx="0">
                  <c:v>z</c:v>
                </c:pt>
              </c:strCache>
            </c:strRef>
          </c:tx>
          <c:spPr>
            <a:ln w="31750"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Лист1!$A$2:$A$41</c:f>
              <c:numCache>
                <c:formatCode>0.0</c:formatCode>
                <c:ptCount val="40"/>
                <c:pt idx="0">
                  <c:v>-0.45288958699976523</c:v>
                </c:pt>
                <c:pt idx="1">
                  <c:v>0.8814404954188072</c:v>
                </c:pt>
                <c:pt idx="2">
                  <c:v>-0.51930209189425458</c:v>
                </c:pt>
                <c:pt idx="3">
                  <c:v>0.78774790652576498</c:v>
                </c:pt>
                <c:pt idx="4">
                  <c:v>0.32578238953813426</c:v>
                </c:pt>
                <c:pt idx="5">
                  <c:v>2.3624400540165067</c:v>
                </c:pt>
                <c:pt idx="6">
                  <c:v>0.97736289611400939</c:v>
                </c:pt>
                <c:pt idx="7">
                  <c:v>3.2545951356864773</c:v>
                </c:pt>
                <c:pt idx="8">
                  <c:v>5.232419976889819</c:v>
                </c:pt>
                <c:pt idx="9">
                  <c:v>4.9301854349162797</c:v>
                </c:pt>
                <c:pt idx="10">
                  <c:v>6.8047487127872603</c:v>
                </c:pt>
                <c:pt idx="11">
                  <c:v>7.5707006836821051</c:v>
                </c:pt>
                <c:pt idx="12">
                  <c:v>8.0250068419555927</c:v>
                </c:pt>
                <c:pt idx="13">
                  <c:v>7.4457872458764101</c:v>
                </c:pt>
                <c:pt idx="14">
                  <c:v>7.1701341522231425</c:v>
                </c:pt>
                <c:pt idx="15">
                  <c:v>7.661101383486054</c:v>
                </c:pt>
                <c:pt idx="16">
                  <c:v>8.5702796165406685</c:v>
                </c:pt>
                <c:pt idx="17">
                  <c:v>7.5697064459070749</c:v>
                </c:pt>
                <c:pt idx="18">
                  <c:v>8.7005976533805089</c:v>
                </c:pt>
                <c:pt idx="19">
                  <c:v>7.1431462499778213</c:v>
                </c:pt>
                <c:pt idx="20">
                  <c:v>6.0129134321825548</c:v>
                </c:pt>
                <c:pt idx="21">
                  <c:v>7.6764098648779564</c:v>
                </c:pt>
                <c:pt idx="22">
                  <c:v>7.9548753664111285</c:v>
                </c:pt>
                <c:pt idx="23">
                  <c:v>6.2845659236884952</c:v>
                </c:pt>
                <c:pt idx="24">
                  <c:v>7.4955289447106974</c:v>
                </c:pt>
                <c:pt idx="25">
                  <c:v>5.9633584037619451</c:v>
                </c:pt>
                <c:pt idx="26">
                  <c:v>7.4764757460605065</c:v>
                </c:pt>
                <c:pt idx="27">
                  <c:v>8.3218944602340077</c:v>
                </c:pt>
                <c:pt idx="28">
                  <c:v>10.179086358188703</c:v>
                </c:pt>
                <c:pt idx="29">
                  <c:v>9.0607161712669786</c:v>
                </c:pt>
                <c:pt idx="30">
                  <c:v>9.9260540409295395</c:v>
                </c:pt>
                <c:pt idx="31">
                  <c:v>10.295464896445999</c:v>
                </c:pt>
                <c:pt idx="32">
                  <c:v>10.6648757519625</c:v>
                </c:pt>
                <c:pt idx="33">
                  <c:v>9.6</c:v>
                </c:pt>
                <c:pt idx="34">
                  <c:v>11.403697462995501</c:v>
                </c:pt>
                <c:pt idx="35">
                  <c:v>11.773108318512</c:v>
                </c:pt>
                <c:pt idx="36">
                  <c:v>13</c:v>
                </c:pt>
                <c:pt idx="37">
                  <c:v>12.511930029545001</c:v>
                </c:pt>
                <c:pt idx="38">
                  <c:v>12.8813408850614</c:v>
                </c:pt>
                <c:pt idx="39">
                  <c:v>13.250751740577901</c:v>
                </c:pt>
              </c:numCache>
            </c:numRef>
          </c:val>
        </c:ser>
        <c:ser>
          <c:idx val="1"/>
          <c:order val="1"/>
          <c:tx>
            <c:strRef>
              <c:f>Лист1!$AN$1</c:f>
              <c:strCache>
                <c:ptCount val="1"/>
                <c:pt idx="0">
                  <c:v>Yinf</c:v>
                </c:pt>
              </c:strCache>
            </c:strRef>
          </c:tx>
          <c:spPr>
            <a:ln w="31750">
              <a:solidFill>
                <a:schemeClr val="tx1"/>
              </a:solidFill>
            </a:ln>
          </c:spPr>
          <c:marker>
            <c:symbol val="none"/>
          </c:marker>
          <c:val>
            <c:numRef>
              <c:f>Лист1!$AN$2:$AN$41</c:f>
              <c:numCache>
                <c:formatCode>General</c:formatCode>
                <c:ptCount val="40"/>
                <c:pt idx="5" formatCode="0.00">
                  <c:v>1.8072603192180461</c:v>
                </c:pt>
                <c:pt idx="6" formatCode="0.00">
                  <c:v>2.214150597903358</c:v>
                </c:pt>
                <c:pt idx="7" formatCode="0.00">
                  <c:v>2.8135452319286314</c:v>
                </c:pt>
                <c:pt idx="8" formatCode="0.00">
                  <c:v>4.925205759056225</c:v>
                </c:pt>
                <c:pt idx="9" formatCode="0.00">
                  <c:v>5.1327898341994125</c:v>
                </c:pt>
                <c:pt idx="10" formatCode="0.00">
                  <c:v>6.4814551397119322</c:v>
                </c:pt>
                <c:pt idx="11" formatCode="0.00">
                  <c:v>7.1766766121319918</c:v>
                </c:pt>
                <c:pt idx="12" formatCode="0.00">
                  <c:v>7.3763563117865232</c:v>
                </c:pt>
                <c:pt idx="13" formatCode="0.00">
                  <c:v>7.4055005465889465</c:v>
                </c:pt>
                <c:pt idx="14" formatCode="0.00">
                  <c:v>6.7524898605359001</c:v>
                </c:pt>
                <c:pt idx="15" formatCode="0.00">
                  <c:v>6.8669671707486293</c:v>
                </c:pt>
                <c:pt idx="16" formatCode="0.00">
                  <c:v>7.5451360816672794</c:v>
                </c:pt>
                <c:pt idx="17" formatCode="0.00">
                  <c:v>7.5553761310265557</c:v>
                </c:pt>
                <c:pt idx="18" formatCode="0.00">
                  <c:v>7.9870481421906474</c:v>
                </c:pt>
                <c:pt idx="19" formatCode="0.00">
                  <c:v>7.5294186311888645</c:v>
                </c:pt>
                <c:pt idx="20" formatCode="0.00">
                  <c:v>6.2652801436606786</c:v>
                </c:pt>
                <c:pt idx="21" formatCode="0.00">
                  <c:v>7.0945803221209962</c:v>
                </c:pt>
                <c:pt idx="22" formatCode="0.00">
                  <c:v>7.6754445237330735</c:v>
                </c:pt>
                <c:pt idx="23" formatCode="0.00">
                  <c:v>7.3002296406065765</c:v>
                </c:pt>
                <c:pt idx="24" formatCode="0.00">
                  <c:v>7.7141233513124794</c:v>
                </c:pt>
                <c:pt idx="25" formatCode="0.00">
                  <c:v>7.0232795597489766</c:v>
                </c:pt>
                <c:pt idx="26" formatCode="0.00">
                  <c:v>7.3332956140609484</c:v>
                </c:pt>
                <c:pt idx="27" formatCode="0.00">
                  <c:v>8.7778934846357402</c:v>
                </c:pt>
                <c:pt idx="28" formatCode="0.00">
                  <c:v>9.8989005571806157</c:v>
                </c:pt>
                <c:pt idx="29" formatCode="0.00">
                  <c:v>10.358021510053563</c:v>
                </c:pt>
                <c:pt idx="30" formatCode="0.00">
                  <c:v>10.176505145913014</c:v>
                </c:pt>
                <c:pt idx="31" formatCode="0.00">
                  <c:v>10.566653122572014</c:v>
                </c:pt>
                <c:pt idx="32" formatCode="0.00">
                  <c:v>10.555976930145704</c:v>
                </c:pt>
                <c:pt idx="33" formatCode="0.00">
                  <c:v>10.419769116102772</c:v>
                </c:pt>
                <c:pt idx="34" formatCode="0.00">
                  <c:v>10.901752310137253</c:v>
                </c:pt>
                <c:pt idx="35" formatCode="0.00">
                  <c:v>11.716591233575635</c:v>
                </c:pt>
                <c:pt idx="36" formatCode="0.00">
                  <c:v>12.492558915019897</c:v>
                </c:pt>
                <c:pt idx="37" formatCode="0.00">
                  <c:v>12.949825007611661</c:v>
                </c:pt>
                <c:pt idx="38" formatCode="0.00">
                  <c:v>12.634370648699024</c:v>
                </c:pt>
                <c:pt idx="39" formatCode="0.00">
                  <c:v>11.943577739858139</c:v>
                </c:pt>
              </c:numCache>
            </c:numRef>
          </c:val>
        </c:ser>
        <c:ser>
          <c:idx val="2"/>
          <c:order val="2"/>
          <c:tx>
            <c:strRef>
              <c:f>Лист1!$AM$1</c:f>
              <c:strCache>
                <c:ptCount val="1"/>
                <c:pt idx="0">
                  <c:v>ei-Zmod</c:v>
                </c:pt>
              </c:strCache>
            </c:strRef>
          </c:tx>
          <c:spPr>
            <a:ln w="3175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Лист1!$AM$2:$AM$41</c:f>
              <c:numCache>
                <c:formatCode>General</c:formatCode>
                <c:ptCount val="40"/>
                <c:pt idx="5" formatCode="0.00">
                  <c:v>0.5551797347984605</c:v>
                </c:pt>
                <c:pt idx="6" formatCode="0.00">
                  <c:v>-1.2367877017893487</c:v>
                </c:pt>
                <c:pt idx="7" formatCode="0.00">
                  <c:v>0.44104990375784614</c:v>
                </c:pt>
                <c:pt idx="8" formatCode="0.00">
                  <c:v>0.30721421783359371</c:v>
                </c:pt>
                <c:pt idx="9" formatCode="0.00">
                  <c:v>-0.20260439928313312</c:v>
                </c:pt>
                <c:pt idx="10" formatCode="0.00">
                  <c:v>0.32329357307532813</c:v>
                </c:pt>
                <c:pt idx="11" formatCode="0.00">
                  <c:v>0.39402407155011332</c:v>
                </c:pt>
                <c:pt idx="12" formatCode="0.00">
                  <c:v>0.64865053016906904</c:v>
                </c:pt>
                <c:pt idx="13" formatCode="0.00">
                  <c:v>4.0286699287463312E-2</c:v>
                </c:pt>
                <c:pt idx="14" formatCode="0.00">
                  <c:v>0.41764429168724249</c:v>
                </c:pt>
                <c:pt idx="15" formatCode="0.00">
                  <c:v>0.79413421273742457</c:v>
                </c:pt>
                <c:pt idx="16" formatCode="0.00">
                  <c:v>1.0251435348733888</c:v>
                </c:pt>
                <c:pt idx="17" formatCode="0.00">
                  <c:v>1.4330314880518946E-2</c:v>
                </c:pt>
                <c:pt idx="18" formatCode="0.00">
                  <c:v>0.71354951118986132</c:v>
                </c:pt>
                <c:pt idx="19" formatCode="0.00">
                  <c:v>-0.38627238121104318</c:v>
                </c:pt>
                <c:pt idx="20" formatCode="0.00">
                  <c:v>-0.25236671147812384</c:v>
                </c:pt>
                <c:pt idx="21" formatCode="0.00">
                  <c:v>0.58182954275696019</c:v>
                </c:pt>
                <c:pt idx="22" formatCode="0.00">
                  <c:v>0.27943084267805451</c:v>
                </c:pt>
                <c:pt idx="23" formatCode="0.00">
                  <c:v>-1.0156637169180813</c:v>
                </c:pt>
                <c:pt idx="24" formatCode="0.00">
                  <c:v>-0.21859440660178198</c:v>
                </c:pt>
                <c:pt idx="25" formatCode="0.00">
                  <c:v>-1.0599211559870318</c:v>
                </c:pt>
                <c:pt idx="26" formatCode="0.00">
                  <c:v>0.14318013199955804</c:v>
                </c:pt>
                <c:pt idx="27" formatCode="0.00">
                  <c:v>-0.45599902440173234</c:v>
                </c:pt>
                <c:pt idx="28" formatCode="0.00">
                  <c:v>0.28018580100808804</c:v>
                </c:pt>
                <c:pt idx="29" formatCode="0.00">
                  <c:v>-1.2973053387865843</c:v>
                </c:pt>
                <c:pt idx="30" formatCode="0.00">
                  <c:v>-0.25045110498347389</c:v>
                </c:pt>
                <c:pt idx="31" formatCode="0.00">
                  <c:v>-0.27118822612601445</c:v>
                </c:pt>
                <c:pt idx="32" formatCode="0.00">
                  <c:v>0.10889882181679617</c:v>
                </c:pt>
                <c:pt idx="33" formatCode="0.00">
                  <c:v>-0.81976911610277259</c:v>
                </c:pt>
                <c:pt idx="34" formatCode="0.00">
                  <c:v>0.50194515285824726</c:v>
                </c:pt>
                <c:pt idx="35" formatCode="0.00">
                  <c:v>5.6517084936365425E-2</c:v>
                </c:pt>
                <c:pt idx="36" formatCode="0.00">
                  <c:v>0.50744108498010299</c:v>
                </c:pt>
                <c:pt idx="37" formatCode="0.00">
                  <c:v>-0.43789497806666078</c:v>
                </c:pt>
                <c:pt idx="38" formatCode="0.00">
                  <c:v>0.24697023636237558</c:v>
                </c:pt>
                <c:pt idx="39" formatCode="0.00">
                  <c:v>1.3071740007197619</c:v>
                </c:pt>
              </c:numCache>
            </c:numRef>
          </c:val>
        </c:ser>
        <c:ser>
          <c:idx val="3"/>
          <c:order val="3"/>
          <c:tx>
            <c:strRef>
              <c:f>Лист1!$I$1</c:f>
              <c:strCache>
                <c:ptCount val="1"/>
                <c:pt idx="0">
                  <c:v>y2</c:v>
                </c:pt>
              </c:strCache>
            </c:strRef>
          </c:tx>
          <c:spPr>
            <a:ln w="34925">
              <a:solidFill>
                <a:srgbClr val="0070C0"/>
              </a:solidFill>
            </a:ln>
          </c:spPr>
          <c:marker>
            <c:symbol val="diamond"/>
            <c:size val="5"/>
          </c:marker>
          <c:val>
            <c:numRef>
              <c:f>Лист1!$I$2:$I$41</c:f>
              <c:numCache>
                <c:formatCode>0.00</c:formatCode>
                <c:ptCount val="40"/>
                <c:pt idx="0">
                  <c:v>0.40803847297289508</c:v>
                </c:pt>
                <c:pt idx="1">
                  <c:v>0.8543665893166984</c:v>
                </c:pt>
                <c:pt idx="2">
                  <c:v>1.2927712815437362</c:v>
                </c:pt>
                <c:pt idx="3">
                  <c:v>1.723252549654009</c:v>
                </c:pt>
                <c:pt idx="4">
                  <c:v>2.1458103936475164</c:v>
                </c:pt>
                <c:pt idx="5">
                  <c:v>2.5604448135242586</c:v>
                </c:pt>
                <c:pt idx="6">
                  <c:v>2.9671558092842352</c:v>
                </c:pt>
                <c:pt idx="7">
                  <c:v>3.365943380927447</c:v>
                </c:pt>
                <c:pt idx="8">
                  <c:v>3.7568075284538924</c:v>
                </c:pt>
                <c:pt idx="9">
                  <c:v>4.1397482518635744</c:v>
                </c:pt>
                <c:pt idx="10">
                  <c:v>4.514765551156489</c:v>
                </c:pt>
                <c:pt idx="11">
                  <c:v>4.8818594263326407</c:v>
                </c:pt>
                <c:pt idx="12">
                  <c:v>5.241029877392025</c:v>
                </c:pt>
                <c:pt idx="13">
                  <c:v>5.5922769043346454</c:v>
                </c:pt>
                <c:pt idx="14">
                  <c:v>5.9356005071604994</c:v>
                </c:pt>
                <c:pt idx="15">
                  <c:v>6.2710006858695895</c:v>
                </c:pt>
                <c:pt idx="16">
                  <c:v>6.5984774404619122</c:v>
                </c:pt>
                <c:pt idx="17">
                  <c:v>6.9180307709374702</c:v>
                </c:pt>
                <c:pt idx="18">
                  <c:v>7.2296606772962644</c:v>
                </c:pt>
                <c:pt idx="19">
                  <c:v>7.5333671595382912</c:v>
                </c:pt>
                <c:pt idx="20">
                  <c:v>7.829150217663555</c:v>
                </c:pt>
                <c:pt idx="21">
                  <c:v>8.1170098516720515</c:v>
                </c:pt>
                <c:pt idx="22">
                  <c:v>8.396946061563785</c:v>
                </c:pt>
                <c:pt idx="23">
                  <c:v>8.6689588473387502</c:v>
                </c:pt>
                <c:pt idx="24">
                  <c:v>8.9330482089969525</c:v>
                </c:pt>
                <c:pt idx="25">
                  <c:v>9.1892141465383883</c:v>
                </c:pt>
                <c:pt idx="26">
                  <c:v>9.4374566599630612</c:v>
                </c:pt>
                <c:pt idx="27">
                  <c:v>9.6777757492709657</c:v>
                </c:pt>
                <c:pt idx="28">
                  <c:v>9.9101714144621056</c:v>
                </c:pt>
                <c:pt idx="29">
                  <c:v>10.134643655536481</c:v>
                </c:pt>
                <c:pt idx="30">
                  <c:v>10.351192472494091</c:v>
                </c:pt>
                <c:pt idx="31">
                  <c:v>10.559817865334935</c:v>
                </c:pt>
                <c:pt idx="32">
                  <c:v>10.760519834059014</c:v>
                </c:pt>
                <c:pt idx="33">
                  <c:v>10.953298378666329</c:v>
                </c:pt>
                <c:pt idx="34">
                  <c:v>11.138153499156878</c:v>
                </c:pt>
                <c:pt idx="35">
                  <c:v>11.315085195530658</c:v>
                </c:pt>
                <c:pt idx="36">
                  <c:v>11.484093467787677</c:v>
                </c:pt>
                <c:pt idx="37">
                  <c:v>11.645178315927932</c:v>
                </c:pt>
                <c:pt idx="38">
                  <c:v>11.79833973995142</c:v>
                </c:pt>
                <c:pt idx="39">
                  <c:v>11.943577739858139</c:v>
                </c:pt>
              </c:numCache>
            </c:numRef>
          </c:val>
        </c:ser>
        <c:marker val="1"/>
        <c:axId val="149437056"/>
        <c:axId val="149464576"/>
      </c:lineChart>
      <c:catAx>
        <c:axId val="149437056"/>
        <c:scaling>
          <c:orientation val="minMax"/>
        </c:scaling>
        <c:axPos val="b"/>
        <c:tickLblPos val="nextTo"/>
        <c:crossAx val="149464576"/>
        <c:crosses val="autoZero"/>
        <c:auto val="1"/>
        <c:lblAlgn val="ctr"/>
        <c:lblOffset val="100"/>
        <c:tickLblSkip val="1"/>
      </c:catAx>
      <c:valAx>
        <c:axId val="149464576"/>
        <c:scaling>
          <c:orientation val="minMax"/>
        </c:scaling>
        <c:axPos val="l"/>
        <c:majorGridlines/>
        <c:numFmt formatCode="0.0" sourceLinked="1"/>
        <c:tickLblPos val="nextTo"/>
        <c:crossAx val="1494370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Лист1!$L$1</c:f>
              <c:strCache>
                <c:ptCount val="1"/>
                <c:pt idx="0">
                  <c:v>Ri</c:v>
                </c:pt>
              </c:strCache>
            </c:strRef>
          </c:tx>
          <c:val>
            <c:numRef>
              <c:f>Лист1!$L$2:$L$11</c:f>
              <c:numCache>
                <c:formatCode>0.000</c:formatCode>
                <c:ptCount val="10"/>
                <c:pt idx="0">
                  <c:v>1</c:v>
                </c:pt>
                <c:pt idx="1">
                  <c:v>0.65981924779280565</c:v>
                </c:pt>
                <c:pt idx="2">
                  <c:v>0.48765230927748632</c:v>
                </c:pt>
                <c:pt idx="3">
                  <c:v>0.35286707602800077</c:v>
                </c:pt>
                <c:pt idx="4">
                  <c:v>0.11732404507787678</c:v>
                </c:pt>
                <c:pt idx="5">
                  <c:v>1.6380315113113712E-2</c:v>
                </c:pt>
                <c:pt idx="6">
                  <c:v>-0.20267502409552315</c:v>
                </c:pt>
                <c:pt idx="7">
                  <c:v>-0.35543763509002968</c:v>
                </c:pt>
                <c:pt idx="8">
                  <c:v>-0.54038716520410157</c:v>
                </c:pt>
                <c:pt idx="9">
                  <c:v>-0.58230544491823788</c:v>
                </c:pt>
              </c:numCache>
            </c:numRef>
          </c:val>
        </c:ser>
        <c:ser>
          <c:idx val="1"/>
          <c:order val="1"/>
          <c:tx>
            <c:strRef>
              <c:f>Лист1!$AO$1</c:f>
              <c:strCache>
                <c:ptCount val="1"/>
                <c:pt idx="0">
                  <c:v>Ri-2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val>
            <c:numRef>
              <c:f>Лист1!$AO$6:$AO$15</c:f>
              <c:numCache>
                <c:formatCode>General</c:formatCode>
                <c:ptCount val="10"/>
                <c:pt idx="0">
                  <c:v>1</c:v>
                </c:pt>
                <c:pt idx="1">
                  <c:v>-8.279232110891474E-2</c:v>
                </c:pt>
                <c:pt idx="2">
                  <c:v>0.30164601306576627</c:v>
                </c:pt>
                <c:pt idx="3">
                  <c:v>2.6820615326668202E-2</c:v>
                </c:pt>
                <c:pt idx="4">
                  <c:v>-3.3157760057173066E-2</c:v>
                </c:pt>
                <c:pt idx="5">
                  <c:v>0.18577954633836821</c:v>
                </c:pt>
                <c:pt idx="6">
                  <c:v>-9.2291980206481092E-2</c:v>
                </c:pt>
                <c:pt idx="7">
                  <c:v>-3.7829300044085787E-2</c:v>
                </c:pt>
                <c:pt idx="8">
                  <c:v>-0.24470217079824122</c:v>
                </c:pt>
                <c:pt idx="9">
                  <c:v>5.8255481641504056E-2</c:v>
                </c:pt>
              </c:numCache>
            </c:numRef>
          </c:val>
        </c:ser>
        <c:ser>
          <c:idx val="2"/>
          <c:order val="2"/>
          <c:tx>
            <c:strRef>
              <c:f>Лист1!$AQ$5</c:f>
              <c:strCache>
                <c:ptCount val="1"/>
                <c:pt idx="0">
                  <c:v>Інтервали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Лист1!$AQ$6:$AQ$16</c:f>
              <c:numCache>
                <c:formatCode>General</c:formatCode>
                <c:ptCount val="11"/>
                <c:pt idx="0">
                  <c:v>-0.34100000000000003</c:v>
                </c:pt>
                <c:pt idx="1">
                  <c:v>-0.34100000000000003</c:v>
                </c:pt>
                <c:pt idx="2">
                  <c:v>-0.34100000000000003</c:v>
                </c:pt>
                <c:pt idx="3">
                  <c:v>-0.34100000000000003</c:v>
                </c:pt>
                <c:pt idx="4">
                  <c:v>-0.34100000000000003</c:v>
                </c:pt>
                <c:pt idx="5">
                  <c:v>-0.34100000000000003</c:v>
                </c:pt>
                <c:pt idx="6">
                  <c:v>-0.34100000000000003</c:v>
                </c:pt>
                <c:pt idx="7">
                  <c:v>-0.34100000000000003</c:v>
                </c:pt>
                <c:pt idx="8">
                  <c:v>-0.34100000000000003</c:v>
                </c:pt>
                <c:pt idx="9">
                  <c:v>-0.34100000000000003</c:v>
                </c:pt>
              </c:numCache>
            </c:numRef>
          </c:val>
        </c:ser>
        <c:ser>
          <c:idx val="3"/>
          <c:order val="3"/>
          <c:tx>
            <c:strRef>
              <c:f>Лист1!$AQ$5</c:f>
              <c:strCache>
                <c:ptCount val="1"/>
                <c:pt idx="0">
                  <c:v>Інтервали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Лист1!$AR$6:$AR$15</c:f>
              <c:numCache>
                <c:formatCode>General</c:formatCode>
                <c:ptCount val="10"/>
                <c:pt idx="0">
                  <c:v>0.29099999999999998</c:v>
                </c:pt>
                <c:pt idx="1">
                  <c:v>0.29099999999999998</c:v>
                </c:pt>
                <c:pt idx="2">
                  <c:v>0.29099999999999998</c:v>
                </c:pt>
                <c:pt idx="3">
                  <c:v>0.29099999999999998</c:v>
                </c:pt>
                <c:pt idx="4">
                  <c:v>0.29099999999999998</c:v>
                </c:pt>
                <c:pt idx="5">
                  <c:v>0.29099999999999998</c:v>
                </c:pt>
                <c:pt idx="6">
                  <c:v>0.29099999999999998</c:v>
                </c:pt>
                <c:pt idx="7">
                  <c:v>0.29099999999999998</c:v>
                </c:pt>
                <c:pt idx="8">
                  <c:v>0.29099999999999998</c:v>
                </c:pt>
                <c:pt idx="9">
                  <c:v>0.29099999999999998</c:v>
                </c:pt>
              </c:numCache>
            </c:numRef>
          </c:val>
        </c:ser>
        <c:marker val="1"/>
        <c:axId val="138684288"/>
        <c:axId val="138743808"/>
      </c:lineChart>
      <c:catAx>
        <c:axId val="138684288"/>
        <c:scaling>
          <c:orientation val="minMax"/>
        </c:scaling>
        <c:axPos val="b"/>
        <c:tickLblPos val="nextTo"/>
        <c:crossAx val="138743808"/>
        <c:crosses val="autoZero"/>
        <c:auto val="1"/>
        <c:lblAlgn val="ctr"/>
        <c:lblOffset val="100"/>
      </c:catAx>
      <c:valAx>
        <c:axId val="138743808"/>
        <c:scaling>
          <c:orientation val="minMax"/>
        </c:scaling>
        <c:axPos val="l"/>
        <c:majorGridlines/>
        <c:numFmt formatCode="0.000" sourceLinked="1"/>
        <c:tickLblPos val="nextTo"/>
        <c:crossAx val="138684288"/>
        <c:crosses val="autoZero"/>
        <c:crossBetween val="between"/>
      </c:valAx>
    </c:plotArea>
    <c:legend>
      <c:legendPos val="r"/>
      <c:legendEntry>
        <c:idx val="3"/>
        <c:delete val="1"/>
      </c:legendEntry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66675</xdr:rowOff>
    </xdr:from>
    <xdr:to>
      <xdr:col>10</xdr:col>
      <xdr:colOff>114300</xdr:colOff>
      <xdr:row>15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85725</xdr:rowOff>
    </xdr:from>
    <xdr:to>
      <xdr:col>13</xdr:col>
      <xdr:colOff>561974</xdr:colOff>
      <xdr:row>17</xdr:row>
      <xdr:rowOff>85724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9525</xdr:rowOff>
    </xdr:from>
    <xdr:to>
      <xdr:col>13</xdr:col>
      <xdr:colOff>485775</xdr:colOff>
      <xdr:row>15</xdr:row>
      <xdr:rowOff>88900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14</xdr:col>
      <xdr:colOff>466725</xdr:colOff>
      <xdr:row>13</xdr:row>
      <xdr:rowOff>152401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13</xdr:col>
      <xdr:colOff>346075</xdr:colOff>
      <xdr:row>17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5"/>
  <sheetViews>
    <sheetView tabSelected="1" topLeftCell="A2" zoomScale="60" zoomScaleNormal="60" workbookViewId="0">
      <selection activeCell="AS25" sqref="AS25"/>
    </sheetView>
  </sheetViews>
  <sheetFormatPr defaultRowHeight="15"/>
  <cols>
    <col min="8" max="8" width="9.140625" customWidth="1"/>
    <col min="10" max="10" width="9.85546875" bestFit="1" customWidth="1"/>
    <col min="25" max="25" width="9.140625" customWidth="1"/>
    <col min="30" max="30" width="11.140625" bestFit="1" customWidth="1"/>
    <col min="34" max="34" width="9.85546875" bestFit="1" customWidth="1"/>
  </cols>
  <sheetData>
    <row r="1" spans="1:44" s="2" customFormat="1" ht="15.75" thickBot="1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I1" s="30" t="s">
        <v>7</v>
      </c>
      <c r="J1" s="3" t="s">
        <v>16</v>
      </c>
      <c r="K1" s="4" t="s">
        <v>17</v>
      </c>
      <c r="L1" s="30" t="s">
        <v>19</v>
      </c>
      <c r="M1" s="9" t="s">
        <v>22</v>
      </c>
      <c r="O1" s="9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4" t="s">
        <v>30</v>
      </c>
      <c r="W1" s="14" t="s">
        <v>25</v>
      </c>
      <c r="X1" s="14" t="s">
        <v>26</v>
      </c>
      <c r="Y1" s="14" t="s">
        <v>27</v>
      </c>
      <c r="Z1" s="14" t="s">
        <v>29</v>
      </c>
      <c r="AA1" s="14" t="s">
        <v>30</v>
      </c>
      <c r="AC1" s="14" t="s">
        <v>25</v>
      </c>
      <c r="AD1" s="14" t="s">
        <v>26</v>
      </c>
      <c r="AE1" s="14" t="s">
        <v>29</v>
      </c>
      <c r="AF1" s="14" t="s">
        <v>30</v>
      </c>
      <c r="AH1" s="30" t="s">
        <v>36</v>
      </c>
      <c r="AI1" s="9" t="s">
        <v>43</v>
      </c>
      <c r="AJ1" s="30" t="s">
        <v>45</v>
      </c>
      <c r="AK1" s="3" t="s">
        <v>44</v>
      </c>
      <c r="AL1" s="4" t="s">
        <v>46</v>
      </c>
      <c r="AM1" s="30" t="s">
        <v>49</v>
      </c>
      <c r="AN1" s="4" t="s">
        <v>47</v>
      </c>
      <c r="AO1" s="30" t="s">
        <v>48</v>
      </c>
      <c r="AP1" s="9" t="s">
        <v>22</v>
      </c>
    </row>
    <row r="2" spans="1:44">
      <c r="A2" s="12">
        <v>-0.45288958699976523</v>
      </c>
      <c r="B2" s="5">
        <v>1</v>
      </c>
      <c r="C2" s="5">
        <f>B2*B2</f>
        <v>1</v>
      </c>
      <c r="D2" s="5">
        <f>C2*B2</f>
        <v>1</v>
      </c>
      <c r="E2" s="5">
        <f>D2*B2</f>
        <v>1</v>
      </c>
      <c r="F2" s="5">
        <f>E2*B2</f>
        <v>1</v>
      </c>
      <c r="G2" s="6">
        <f>F2*B2</f>
        <v>1</v>
      </c>
      <c r="I2" s="33">
        <f xml:space="preserve"> $D$47 + $C$47*B2 + $B$47*C2</f>
        <v>0.40803847297289508</v>
      </c>
      <c r="J2" s="34">
        <f>A2-I2</f>
        <v>-0.86092805997266031</v>
      </c>
      <c r="K2" s="35">
        <f>J2*J2</f>
        <v>0.74119712444828856</v>
      </c>
      <c r="L2" s="36">
        <v>1</v>
      </c>
      <c r="M2" s="10">
        <v>0</v>
      </c>
      <c r="O2" s="40">
        <f>A8-I8</f>
        <v>-1.9897929131702257</v>
      </c>
      <c r="P2" s="38">
        <f>A7-I7</f>
        <v>-0.19800475950775187</v>
      </c>
      <c r="Q2" s="38">
        <f>A6-I6</f>
        <v>-1.8200280041093821</v>
      </c>
      <c r="R2" s="38">
        <f>A5-I5</f>
        <v>-0.935504643128244</v>
      </c>
      <c r="S2" s="38">
        <f>A4-I4</f>
        <v>-1.8120733734379908</v>
      </c>
      <c r="T2" s="38">
        <f>A3-I3</f>
        <v>2.7073906102108802E-2</v>
      </c>
      <c r="U2" s="26">
        <f>A2-I2</f>
        <v>-0.86092805997266031</v>
      </c>
      <c r="W2" s="38">
        <f>A7-I7</f>
        <v>-0.19800475950775187</v>
      </c>
      <c r="X2" s="38">
        <f>A6-I6</f>
        <v>-1.8200280041093821</v>
      </c>
      <c r="Y2" s="38">
        <f>A5-I5</f>
        <v>-0.935504643128244</v>
      </c>
      <c r="Z2" s="38">
        <f>A3-I3</f>
        <v>2.7073906102108802E-2</v>
      </c>
      <c r="AA2" s="25">
        <f>A2-I2</f>
        <v>-0.86092805997266031</v>
      </c>
      <c r="AC2" s="38">
        <f>A7-I7</f>
        <v>-0.19800475950775187</v>
      </c>
      <c r="AD2" s="38">
        <f>A6-I6</f>
        <v>-1.8200280041093821</v>
      </c>
      <c r="AE2" s="38">
        <f>A3-I3</f>
        <v>2.7073906102108802E-2</v>
      </c>
      <c r="AF2" s="25">
        <f>A2-I2</f>
        <v>-0.86092805997266031</v>
      </c>
      <c r="AH2" s="19"/>
      <c r="AI2" s="10"/>
      <c r="AJ2" s="19"/>
      <c r="AK2" s="5"/>
      <c r="AL2" s="6"/>
      <c r="AM2" s="19"/>
      <c r="AN2" s="6"/>
      <c r="AO2" s="19"/>
      <c r="AP2" s="6"/>
    </row>
    <row r="3" spans="1:44">
      <c r="A3" s="12">
        <v>0.8814404954188072</v>
      </c>
      <c r="B3" s="5">
        <v>2</v>
      </c>
      <c r="C3" s="5">
        <f t="shared" ref="C3:C44" si="0">B3*B3</f>
        <v>4</v>
      </c>
      <c r="D3" s="5">
        <f t="shared" ref="D3:D44" si="1">C3*B3</f>
        <v>8</v>
      </c>
      <c r="E3" s="5">
        <f t="shared" ref="E3:E44" si="2">D3*B3</f>
        <v>16</v>
      </c>
      <c r="F3" s="5">
        <f t="shared" ref="F3:F44" si="3">E3*B3</f>
        <v>32</v>
      </c>
      <c r="G3" s="6">
        <f t="shared" ref="G3:G44" si="4">F3*B3</f>
        <v>64</v>
      </c>
      <c r="I3" s="24">
        <f t="shared" ref="I3:I44" si="5" xml:space="preserve"> $D$47 + $C$47*B3 + $B$47*C3</f>
        <v>0.8543665893166984</v>
      </c>
      <c r="J3" s="25">
        <f t="shared" ref="J3:J41" si="6">A3-I3</f>
        <v>2.7073906102108802E-2</v>
      </c>
      <c r="K3" s="26">
        <f t="shared" ref="K3:K41" si="7">J3*J3</f>
        <v>7.3299639162580424E-4</v>
      </c>
      <c r="L3" s="36">
        <f xml:space="preserve"> (J$2*J4 + J$3*J5 + J$4*J6 + J$5*J7 + J$6*J8 + J$7*J9 + J$8*J10 + J$9*J11 + J$10*J12 + J$11*J13 + J$12*J14 + J$13*J15 + J$14*J16 + J$15*J17 + J$16*J18 + J$17*J19 + J$18*J20 + J$19*J21 + J$20*J22 + J$21*J23 + J$22*J24 + J$23*J25 + J$24*J26 + J$25*J27 + J$26*J28 + J$27*J29 + J$28*J30 + J$29*J31 + J$30*J32 + J$31*J33 + J$32*J34 + J$33*J35 + J$34*J36 + J$35*J37 + J$36*J38 + J$37*J39 + J$38*J40 + J$39*J41) / (38*$K$42)</f>
        <v>0.65981924779280565</v>
      </c>
      <c r="M3" s="10">
        <v>0</v>
      </c>
      <c r="O3" s="40">
        <f>A9-I9</f>
        <v>-0.11134824524096976</v>
      </c>
      <c r="P3" s="38">
        <f t="shared" ref="P3:P35" si="8">A8-I8</f>
        <v>-1.9897929131702257</v>
      </c>
      <c r="Q3" s="38">
        <f t="shared" ref="Q3:Q35" si="9">A7-I7</f>
        <v>-0.19800475950775187</v>
      </c>
      <c r="R3" s="38">
        <f t="shared" ref="R3:R35" si="10">A6-I6</f>
        <v>-1.8200280041093821</v>
      </c>
      <c r="S3" s="38">
        <f t="shared" ref="S3:S35" si="11">A5-I5</f>
        <v>-0.935504643128244</v>
      </c>
      <c r="T3" s="38">
        <f t="shared" ref="T3:T35" si="12">A4-I4</f>
        <v>-1.8120733734379908</v>
      </c>
      <c r="U3" s="26">
        <f t="shared" ref="U3:U35" si="13">A3-I3</f>
        <v>2.7073906102108802E-2</v>
      </c>
      <c r="W3" s="38">
        <f t="shared" ref="W3:W35" si="14">A8-I8</f>
        <v>-1.9897929131702257</v>
      </c>
      <c r="X3" s="38">
        <f t="shared" ref="X3:X35" si="15">A7-I7</f>
        <v>-0.19800475950775187</v>
      </c>
      <c r="Y3" s="38">
        <f t="shared" ref="Y3:Y35" si="16">A6-I6</f>
        <v>-1.8200280041093821</v>
      </c>
      <c r="Z3" s="38">
        <f t="shared" ref="Z3:Z35" si="17">A5-I5</f>
        <v>-0.935504643128244</v>
      </c>
      <c r="AA3" s="25">
        <f t="shared" ref="AA3:AA35" si="18">A3-I3</f>
        <v>2.7073906102108802E-2</v>
      </c>
      <c r="AC3" s="38">
        <f t="shared" ref="AC3:AC35" si="19">A8-I8</f>
        <v>-1.9897929131702257</v>
      </c>
      <c r="AD3" s="38">
        <f t="shared" ref="AD3:AD35" si="20">A7-I7</f>
        <v>-0.19800475950775187</v>
      </c>
      <c r="AE3" s="38">
        <f t="shared" ref="AE3:AE35" si="21">A4-I4</f>
        <v>-1.8120733734379908</v>
      </c>
      <c r="AF3" s="25">
        <f t="shared" ref="AF3:AF35" si="22">A3-I3</f>
        <v>2.7073906102108802E-2</v>
      </c>
      <c r="AH3" s="19"/>
      <c r="AI3" s="10"/>
      <c r="AJ3" s="19"/>
      <c r="AK3" s="25"/>
      <c r="AL3" s="6"/>
      <c r="AM3" s="19"/>
      <c r="AN3" s="6"/>
      <c r="AO3" s="19"/>
      <c r="AP3" s="6"/>
    </row>
    <row r="4" spans="1:44" ht="15.75" thickBot="1">
      <c r="A4" s="12">
        <v>-0.51930209189425458</v>
      </c>
      <c r="B4" s="5">
        <v>3</v>
      </c>
      <c r="C4" s="5">
        <f t="shared" si="0"/>
        <v>9</v>
      </c>
      <c r="D4" s="5">
        <f t="shared" si="1"/>
        <v>27</v>
      </c>
      <c r="E4" s="5">
        <f t="shared" si="2"/>
        <v>81</v>
      </c>
      <c r="F4" s="5">
        <f t="shared" si="3"/>
        <v>243</v>
      </c>
      <c r="G4" s="6">
        <f t="shared" si="4"/>
        <v>729</v>
      </c>
      <c r="I4" s="24">
        <f t="shared" si="5"/>
        <v>1.2927712815437362</v>
      </c>
      <c r="J4" s="25">
        <f t="shared" si="6"/>
        <v>-1.8120733734379908</v>
      </c>
      <c r="K4" s="26">
        <f t="shared" si="7"/>
        <v>3.28360991072294</v>
      </c>
      <c r="L4" s="36">
        <f xml:space="preserve"> (J$2*J5 + J$3*J6 + J$4*J7 + J$5*J8 + J$6*J9 + J$7*J10 + J$8*J11 + J$9*J12 + J$10*J13 + J$11*J14 + J$12*J15 + J$13*J16 + J$14*J17 + J$15*J18 + J$16*J19 + J$17*J20 + J$18*J21 + J$19*J22 + J$20*J23 + J$21*J24 + J$22*J25 + J$23*J26 + J$24*J27 + J$25*J28 + J$26*J29 + J$27*J30 + J$28*J31 + J$29*J32 + J$30*J33 + J$31*J34 + J$32*J35 + J$33*J36 + J$34*J37 + J$35*J38 + J$36*J39 + J$37*J40 + J$38*J41) / (37*$K$42)</f>
        <v>0.48765230927748632</v>
      </c>
      <c r="M4" s="10">
        <v>0</v>
      </c>
      <c r="O4" s="40">
        <f t="shared" ref="O4:O35" si="23">A10-I10</f>
        <v>1.4756124484359265</v>
      </c>
      <c r="P4" s="38">
        <f t="shared" si="8"/>
        <v>-0.11134824524096976</v>
      </c>
      <c r="Q4" s="38">
        <f t="shared" si="9"/>
        <v>-1.9897929131702257</v>
      </c>
      <c r="R4" s="38">
        <f t="shared" si="10"/>
        <v>-0.19800475950775187</v>
      </c>
      <c r="S4" s="38">
        <f t="shared" si="11"/>
        <v>-1.8200280041093821</v>
      </c>
      <c r="T4" s="38">
        <f t="shared" si="12"/>
        <v>-0.935504643128244</v>
      </c>
      <c r="U4" s="26">
        <f t="shared" si="13"/>
        <v>-1.8120733734379908</v>
      </c>
      <c r="W4" s="38">
        <f t="shared" si="14"/>
        <v>-0.11134824524096976</v>
      </c>
      <c r="X4" s="38">
        <f t="shared" si="15"/>
        <v>-1.9897929131702257</v>
      </c>
      <c r="Y4" s="38">
        <f t="shared" si="16"/>
        <v>-0.19800475950775187</v>
      </c>
      <c r="Z4" s="38">
        <f t="shared" si="17"/>
        <v>-1.8200280041093821</v>
      </c>
      <c r="AA4" s="25">
        <f t="shared" si="18"/>
        <v>-1.8120733734379908</v>
      </c>
      <c r="AC4" s="38">
        <f t="shared" si="19"/>
        <v>-0.11134824524096976</v>
      </c>
      <c r="AD4" s="38">
        <f t="shared" si="20"/>
        <v>-1.9897929131702257</v>
      </c>
      <c r="AE4" s="38">
        <f t="shared" si="21"/>
        <v>-0.935504643128244</v>
      </c>
      <c r="AF4" s="25">
        <f t="shared" si="22"/>
        <v>-1.8120733734379908</v>
      </c>
      <c r="AH4" s="19"/>
      <c r="AI4" s="10"/>
      <c r="AJ4" s="24"/>
      <c r="AK4" s="25"/>
      <c r="AL4" s="6"/>
      <c r="AM4" s="19"/>
      <c r="AN4" s="6"/>
      <c r="AO4" s="19"/>
      <c r="AP4" s="6"/>
    </row>
    <row r="5" spans="1:44" ht="15.75" thickBot="1">
      <c r="A5" s="12">
        <v>0.78774790652576498</v>
      </c>
      <c r="B5" s="5">
        <v>4</v>
      </c>
      <c r="C5" s="5">
        <f t="shared" si="0"/>
        <v>16</v>
      </c>
      <c r="D5" s="5">
        <f t="shared" si="1"/>
        <v>64</v>
      </c>
      <c r="E5" s="5">
        <f t="shared" si="2"/>
        <v>256</v>
      </c>
      <c r="F5" s="5">
        <f t="shared" si="3"/>
        <v>1024</v>
      </c>
      <c r="G5" s="6">
        <f t="shared" si="4"/>
        <v>4096</v>
      </c>
      <c r="I5" s="24">
        <f t="shared" si="5"/>
        <v>1.723252549654009</v>
      </c>
      <c r="J5" s="25">
        <f t="shared" si="6"/>
        <v>-0.935504643128244</v>
      </c>
      <c r="K5" s="26">
        <f t="shared" si="7"/>
        <v>0.87516893731450318</v>
      </c>
      <c r="L5" s="36">
        <f xml:space="preserve"> (J$2*J6 + J$3*J7 + J$4*J8 + J$5*J9 + J$6*J10 + J$7*J11 + J$8*J12 + J$9*J13 + J$10*J14 + J$11*J15 + J$12*J16 + J$13*J17 + J$14*J18 + J$15*J19 + J$16*J20 + J$17*J21 + J$18*J22 + J$19*J23 + J$20*J24 + J$21*J25 + J$22*J26 + J$23*J27 + J$24*J28 + J$25*J29 + J$26*J30 + J$27*J31 + J$28*J32 + J$29*J33 + J$30*J34 + J$31*J35 + J$32*J36 + J$33*J37 + J$34*J38 + J$35*J39 + J$36*J40 + J$37*J41) / (36*$K$42)</f>
        <v>0.35286707602800077</v>
      </c>
      <c r="M5" s="10">
        <v>0</v>
      </c>
      <c r="O5" s="40">
        <f t="shared" si="23"/>
        <v>0.79043718305270527</v>
      </c>
      <c r="P5" s="38">
        <f t="shared" si="8"/>
        <v>1.4756124484359265</v>
      </c>
      <c r="Q5" s="38">
        <f t="shared" si="9"/>
        <v>-0.11134824524096976</v>
      </c>
      <c r="R5" s="38">
        <f t="shared" si="10"/>
        <v>-1.9897929131702257</v>
      </c>
      <c r="S5" s="38">
        <f t="shared" si="11"/>
        <v>-0.19800475950775187</v>
      </c>
      <c r="T5" s="38">
        <f t="shared" si="12"/>
        <v>-1.8200280041093821</v>
      </c>
      <c r="U5" s="26">
        <f t="shared" si="13"/>
        <v>-0.935504643128244</v>
      </c>
      <c r="W5" s="38">
        <f t="shared" si="14"/>
        <v>1.4756124484359265</v>
      </c>
      <c r="X5" s="38">
        <f t="shared" si="15"/>
        <v>-0.11134824524096976</v>
      </c>
      <c r="Y5" s="38">
        <f t="shared" si="16"/>
        <v>-1.9897929131702257</v>
      </c>
      <c r="Z5" s="38">
        <f t="shared" si="17"/>
        <v>-0.19800475950775187</v>
      </c>
      <c r="AA5" s="25">
        <f t="shared" si="18"/>
        <v>-0.935504643128244</v>
      </c>
      <c r="AC5" s="38">
        <f t="shared" si="19"/>
        <v>1.4756124484359265</v>
      </c>
      <c r="AD5" s="38">
        <f t="shared" si="20"/>
        <v>-0.11134824524096976</v>
      </c>
      <c r="AE5" s="38">
        <f t="shared" si="21"/>
        <v>-1.8200280041093821</v>
      </c>
      <c r="AF5" s="25">
        <f t="shared" si="22"/>
        <v>-0.935504643128244</v>
      </c>
      <c r="AH5" s="19"/>
      <c r="AI5" s="10"/>
      <c r="AJ5" s="24">
        <f t="shared" ref="AJ4:AJ7" si="24">I5 + $AA$49*J4 + $Z$49*J3 + $Y$49*J2</f>
        <v>0.93554834750410465</v>
      </c>
      <c r="AK5" s="25">
        <f>A5 - AJ5</f>
        <v>-0.14780044097833966</v>
      </c>
      <c r="AL5" s="6">
        <f>AK5*AK5</f>
        <v>2.1844970353391668E-2</v>
      </c>
      <c r="AM5" s="24"/>
      <c r="AN5" s="6"/>
      <c r="AO5" s="19"/>
      <c r="AP5" s="6"/>
      <c r="AQ5" s="69" t="s">
        <v>55</v>
      </c>
      <c r="AR5" s="70"/>
    </row>
    <row r="6" spans="1:44">
      <c r="A6" s="12">
        <v>0.32578238953813426</v>
      </c>
      <c r="B6" s="5">
        <v>5</v>
      </c>
      <c r="C6" s="5">
        <f t="shared" si="0"/>
        <v>25</v>
      </c>
      <c r="D6" s="5">
        <f t="shared" si="1"/>
        <v>125</v>
      </c>
      <c r="E6" s="5">
        <f t="shared" si="2"/>
        <v>625</v>
      </c>
      <c r="F6" s="5">
        <f t="shared" si="3"/>
        <v>3125</v>
      </c>
      <c r="G6" s="6">
        <f t="shared" si="4"/>
        <v>15625</v>
      </c>
      <c r="I6" s="24">
        <f t="shared" si="5"/>
        <v>2.1458103936475164</v>
      </c>
      <c r="J6" s="25">
        <f t="shared" si="6"/>
        <v>-1.8200280041093821</v>
      </c>
      <c r="K6" s="26">
        <f t="shared" si="7"/>
        <v>3.3125019357423811</v>
      </c>
      <c r="L6" s="36">
        <f xml:space="preserve"> (J$2*J7 + J$3*J8 + J$4*J9 + J$5*J10 + J$6*J11 + J$7*J12 + J$8*J13 + J$9*J14 + J$10*J15 + J$11*J16 + J$12*J17 + J$13*J18 + J$14*J19 + J$15*J20 + J$16*J21 + J$17*J22 + J$18*J23 + J$19*J24 + J$20*J25 + J$21*J26 + J$22*J27 + J$23*J28 + J$24*J29 + J$25*J30 + J$26*J31 + J$27*J32 + J$28*J33 + J$29*J34 + J$30*J35 + J$31*J36 + J$32*J37 + J$33*J38 + J$34*J39 + J$35*J40 + J$36*J41) / (35*$K$42)</f>
        <v>0.11732404507787678</v>
      </c>
      <c r="M6" s="10">
        <v>1</v>
      </c>
      <c r="O6" s="40">
        <f t="shared" si="23"/>
        <v>2.2899831616307713</v>
      </c>
      <c r="P6" s="38">
        <f t="shared" si="8"/>
        <v>0.79043718305270527</v>
      </c>
      <c r="Q6" s="38">
        <f t="shared" si="9"/>
        <v>1.4756124484359265</v>
      </c>
      <c r="R6" s="38">
        <f t="shared" si="10"/>
        <v>-0.11134824524096976</v>
      </c>
      <c r="S6" s="38">
        <f t="shared" si="11"/>
        <v>-1.9897929131702257</v>
      </c>
      <c r="T6" s="38">
        <f t="shared" si="12"/>
        <v>-0.19800475950775187</v>
      </c>
      <c r="U6" s="26">
        <f t="shared" si="13"/>
        <v>-1.8200280041093821</v>
      </c>
      <c r="W6" s="38">
        <f t="shared" si="14"/>
        <v>0.79043718305270527</v>
      </c>
      <c r="X6" s="38">
        <f t="shared" si="15"/>
        <v>1.4756124484359265</v>
      </c>
      <c r="Y6" s="38">
        <f t="shared" si="16"/>
        <v>-0.11134824524096976</v>
      </c>
      <c r="Z6" s="38">
        <f t="shared" si="17"/>
        <v>-1.9897929131702257</v>
      </c>
      <c r="AA6" s="25">
        <f t="shared" si="18"/>
        <v>-1.8200280041093821</v>
      </c>
      <c r="AC6" s="38">
        <f t="shared" si="19"/>
        <v>0.79043718305270527</v>
      </c>
      <c r="AD6" s="38">
        <f t="shared" si="20"/>
        <v>1.4756124484359265</v>
      </c>
      <c r="AE6" s="38">
        <f t="shared" si="21"/>
        <v>-0.19800475950775187</v>
      </c>
      <c r="AF6" s="25">
        <f t="shared" si="22"/>
        <v>-1.8200280041093821</v>
      </c>
      <c r="AH6" s="19"/>
      <c r="AI6" s="10"/>
      <c r="AJ6" s="24">
        <f t="shared" si="24"/>
        <v>0.99336322682708866</v>
      </c>
      <c r="AK6" s="25">
        <f t="shared" ref="AK6:AK42" si="25">A6 - AJ6</f>
        <v>-0.66758083728895445</v>
      </c>
      <c r="AL6" s="6">
        <f t="shared" ref="AL6:AL42" si="26">AK6*AK6</f>
        <v>0.44566417431542149</v>
      </c>
      <c r="AM6" s="24"/>
      <c r="AN6" s="6"/>
      <c r="AO6" s="19">
        <v>1</v>
      </c>
      <c r="AP6" s="6">
        <v>0</v>
      </c>
      <c r="AQ6" s="16">
        <v>-0.34100000000000003</v>
      </c>
      <c r="AR6" s="18">
        <v>0.29099999999999998</v>
      </c>
    </row>
    <row r="7" spans="1:44">
      <c r="A7" s="12">
        <v>2.3624400540165067</v>
      </c>
      <c r="B7" s="5">
        <v>6</v>
      </c>
      <c r="C7" s="5">
        <f t="shared" si="0"/>
        <v>36</v>
      </c>
      <c r="D7" s="5">
        <f t="shared" si="1"/>
        <v>216</v>
      </c>
      <c r="E7" s="5">
        <f t="shared" si="2"/>
        <v>1296</v>
      </c>
      <c r="F7" s="5">
        <f t="shared" si="3"/>
        <v>7776</v>
      </c>
      <c r="G7" s="6">
        <f t="shared" si="4"/>
        <v>46656</v>
      </c>
      <c r="I7" s="24">
        <f t="shared" si="5"/>
        <v>2.5604448135242586</v>
      </c>
      <c r="J7" s="25">
        <f t="shared" si="6"/>
        <v>-0.19800475950775187</v>
      </c>
      <c r="K7" s="26">
        <f t="shared" si="7"/>
        <v>3.9205884787722654E-2</v>
      </c>
      <c r="L7" s="36">
        <f xml:space="preserve"> (J$2*J8 + J$3*J9 + J$4*J10 + J$5*J11 + J$6*J12 + J$7*J13 + J$8*J14 + J$9*J15 + J$10*J16 + J$11*J17 + J$12*J18 + J$13*J19 + J$14*J20 + J$15*J21 + J$16*J22 + J$17*J23 + J$18*J24 + J$19*J25 + J$20*J26 + J$21*J27 + J$22*J28 + J$23*J29 + J$24*J30 + J$25*J31 + J$26*J32 + J$27*J33 + J$28*J34 + J$29*J35 + J$30*J36 + J$31*J37 + J$32*J38 + J$33*J39 + J$34*J40 + J$35*J41) / (34*$K$42)</f>
        <v>1.6380315113113712E-2</v>
      </c>
      <c r="M7" s="10">
        <v>1</v>
      </c>
      <c r="O7" s="40">
        <f t="shared" si="23"/>
        <v>2.6888412573494644</v>
      </c>
      <c r="P7" s="38">
        <f t="shared" si="8"/>
        <v>2.2899831616307713</v>
      </c>
      <c r="Q7" s="38">
        <f t="shared" si="9"/>
        <v>0.79043718305270527</v>
      </c>
      <c r="R7" s="38">
        <f t="shared" si="10"/>
        <v>1.4756124484359265</v>
      </c>
      <c r="S7" s="38">
        <f t="shared" si="11"/>
        <v>-0.11134824524096976</v>
      </c>
      <c r="T7" s="38">
        <f t="shared" si="12"/>
        <v>-1.9897929131702257</v>
      </c>
      <c r="U7" s="26">
        <f t="shared" si="13"/>
        <v>-0.19800475950775187</v>
      </c>
      <c r="W7" s="38">
        <f t="shared" si="14"/>
        <v>2.2899831616307713</v>
      </c>
      <c r="X7" s="38">
        <f t="shared" si="15"/>
        <v>0.79043718305270527</v>
      </c>
      <c r="Y7" s="38">
        <f t="shared" si="16"/>
        <v>1.4756124484359265</v>
      </c>
      <c r="Z7" s="38">
        <f t="shared" si="17"/>
        <v>-0.11134824524096976</v>
      </c>
      <c r="AA7" s="25">
        <f t="shared" si="18"/>
        <v>-0.19800475950775187</v>
      </c>
      <c r="AC7" s="38">
        <f t="shared" si="19"/>
        <v>2.2899831616307713</v>
      </c>
      <c r="AD7" s="38">
        <f t="shared" si="20"/>
        <v>0.79043718305270527</v>
      </c>
      <c r="AE7" s="38">
        <f t="shared" si="21"/>
        <v>-1.9897929131702257</v>
      </c>
      <c r="AF7" s="25">
        <f t="shared" si="22"/>
        <v>-0.19800475950775187</v>
      </c>
      <c r="AH7" s="19">
        <f>$AA$49*AC2 + $Z$49*AD2 + $Y$49*AE2</f>
        <v>-0.75318449430621237</v>
      </c>
      <c r="AI7" s="10"/>
      <c r="AJ7" s="24">
        <f t="shared" si="24"/>
        <v>1.6409585361738181</v>
      </c>
      <c r="AK7" s="25">
        <f t="shared" si="25"/>
        <v>0.72148151784268855</v>
      </c>
      <c r="AL7" s="6">
        <f t="shared" si="26"/>
        <v>0.52053558058858973</v>
      </c>
      <c r="AM7" s="24">
        <f t="shared" ref="AM6:AM41" si="27">J7-AH7</f>
        <v>0.5551797347984605</v>
      </c>
      <c r="AN7" s="26">
        <f>A7-AM7</f>
        <v>1.8072603192180461</v>
      </c>
      <c r="AO7" s="19">
        <f xml:space="preserve"> (AK$5*AK7 + AK$6*AK8 + AK$7*AK9 + AK$8*AK10 + AK$9*AK11 + AK$10*AK12 + AK$11*AK13 + AK$12*AK14 + AK$13*AK15 + AK$14*AK16 + AK$15*AK17 + AK$16*AK18 +AK$17*AK19 + AK$18*AK20 + AK$19*AK21 +AK$20*AK22 + AK$21*AK23 + AK$22*AK24 + AK$23*AK25 + AK$24*AK26 + AK$25*AK27 + AK$26*AK28 + AK$27*AK29 + AK$28*AK30 + AK$29*AK31 + AK$30*AK32 + AK$31*AK33 + AK$32*AK34 + AK$33*AK35 + AK$34*AK36 + AK$35*AK37 + AK$36*AK38 + AK$37*AK39 + AK$38*AK40 + AK$39*AK41) / (38*$AL$42)</f>
        <v>-8.279232110891474E-2</v>
      </c>
      <c r="AP7" s="6">
        <v>1</v>
      </c>
      <c r="AQ7" s="19">
        <v>-0.34100000000000003</v>
      </c>
      <c r="AR7" s="6">
        <v>0.29099999999999998</v>
      </c>
    </row>
    <row r="8" spans="1:44">
      <c r="A8" s="12">
        <v>0.97736289611400939</v>
      </c>
      <c r="B8" s="5">
        <v>7</v>
      </c>
      <c r="C8" s="5">
        <f t="shared" si="0"/>
        <v>49</v>
      </c>
      <c r="D8" s="5">
        <f t="shared" si="1"/>
        <v>343</v>
      </c>
      <c r="E8" s="5">
        <f t="shared" si="2"/>
        <v>2401</v>
      </c>
      <c r="F8" s="5">
        <f t="shared" si="3"/>
        <v>16807</v>
      </c>
      <c r="G8" s="6">
        <f t="shared" si="4"/>
        <v>117649</v>
      </c>
      <c r="I8" s="24">
        <f t="shared" si="5"/>
        <v>2.9671558092842352</v>
      </c>
      <c r="J8" s="25">
        <f t="shared" si="6"/>
        <v>-1.9897929131702257</v>
      </c>
      <c r="K8" s="26">
        <f t="shared" si="7"/>
        <v>3.959275837302453</v>
      </c>
      <c r="L8" s="36">
        <f xml:space="preserve"> (J$2*J9 + J$3*J10 + J$4*J11 + J$5*J12 + J$6*J13 + J$7*J14 + J$8*J15 + J$9*J16 + J$10*J17 + J$11*J18 + J$12*J19 + J$13*J20 + J$14*J21 + J$15*J22 + J$16*J23 + J$17*J24 + J$18*J25 + J$19*J26 + J$20*J27 + J$21*J28 + J$22*J29 + J$23*J30 + J$24*J31 + J$25*J32 + J$26*J33 + J$27*J34 + J$28*J35 + J$29*J36 + J$30*J37 + J$31*J38 + J$32*J39 + J$33*J40 + J$34*J41) / (33*$K$42)</f>
        <v>-0.20267502409552315</v>
      </c>
      <c r="M8" s="10">
        <v>1</v>
      </c>
      <c r="O8" s="40">
        <f t="shared" si="23"/>
        <v>2.7839769645635677</v>
      </c>
      <c r="P8" s="38">
        <f t="shared" si="8"/>
        <v>2.6888412573494644</v>
      </c>
      <c r="Q8" s="38">
        <f t="shared" si="9"/>
        <v>2.2899831616307713</v>
      </c>
      <c r="R8" s="38">
        <f t="shared" si="10"/>
        <v>0.79043718305270527</v>
      </c>
      <c r="S8" s="38">
        <f t="shared" si="11"/>
        <v>1.4756124484359265</v>
      </c>
      <c r="T8" s="38">
        <f t="shared" si="12"/>
        <v>-0.11134824524096976</v>
      </c>
      <c r="U8" s="26">
        <f t="shared" si="13"/>
        <v>-1.9897929131702257</v>
      </c>
      <c r="W8" s="38">
        <f t="shared" si="14"/>
        <v>2.6888412573494644</v>
      </c>
      <c r="X8" s="38">
        <f t="shared" si="15"/>
        <v>2.2899831616307713</v>
      </c>
      <c r="Y8" s="38">
        <f t="shared" si="16"/>
        <v>0.79043718305270527</v>
      </c>
      <c r="Z8" s="38">
        <f t="shared" si="17"/>
        <v>1.4756124484359265</v>
      </c>
      <c r="AA8" s="25">
        <f t="shared" si="18"/>
        <v>-1.9897929131702257</v>
      </c>
      <c r="AC8" s="38">
        <f t="shared" si="19"/>
        <v>2.6888412573494644</v>
      </c>
      <c r="AD8" s="38">
        <f t="shared" si="20"/>
        <v>2.2899831616307713</v>
      </c>
      <c r="AE8" s="38">
        <f t="shared" si="21"/>
        <v>-0.11134824524096976</v>
      </c>
      <c r="AF8" s="25">
        <f t="shared" si="22"/>
        <v>-1.9897929131702257</v>
      </c>
      <c r="AH8" s="19">
        <f t="shared" ref="AH8:AH41" si="28">$AA$49*AC3 + $Z$49*AD3 + $Y$49*AE3</f>
        <v>-0.75300521138087695</v>
      </c>
      <c r="AI8" s="10"/>
      <c r="AJ8" s="24">
        <f>I8 + $AA$49*J7 + $Z$49*J6 + $Y$49*J5</f>
        <v>2.4271419957212168</v>
      </c>
      <c r="AK8" s="25">
        <f t="shared" si="25"/>
        <v>-1.4497790996072073</v>
      </c>
      <c r="AL8" s="6">
        <f t="shared" si="26"/>
        <v>2.1018594376578847</v>
      </c>
      <c r="AM8" s="24">
        <f t="shared" si="27"/>
        <v>-1.2367877017893487</v>
      </c>
      <c r="AN8" s="26">
        <f t="shared" ref="AN8:AN41" si="29">A8-AM8</f>
        <v>2.214150597903358</v>
      </c>
      <c r="AO8" s="19">
        <f xml:space="preserve"> (AK$5*AK8 + AK$6*AK9 + AK$7*AK10 + AK$8*AK11 + AK$9*AK12 + AK$10*AK13 + AK$11*AK14 + AK$12*AK15 + AK$13*AK16 + AK$14*AK17 + AK$15*AK18 + AK$16*AK19 +AK$17*AK20 + AK$18*AK21 + AK$19*AK22 +AK$20*AK23 + AK$21*AK24 + AK$22*AK25 + AK$23*AK26 + AK$24*AK27 + AK$25*AK28 + AK$26*AK29 + AK$27*AK30 + AK$28*AK31 + AK$29*AK32 + AK$30*AK33 + AK$31*AK34 + AK$32*AK35 + AK$33*AK36 + AK$34*AK37 + AK$35*AK38 + AK$36*AK39 + AK$37*AK40 + AK$38*AK41) / (37*$AL$42)</f>
        <v>0.30164601306576627</v>
      </c>
      <c r="AP8" s="6">
        <v>0</v>
      </c>
      <c r="AQ8" s="19">
        <v>-0.34100000000000003</v>
      </c>
      <c r="AR8" s="6">
        <v>0.29099999999999998</v>
      </c>
    </row>
    <row r="9" spans="1:44">
      <c r="A9" s="12">
        <v>3.2545951356864773</v>
      </c>
      <c r="B9" s="5">
        <v>8</v>
      </c>
      <c r="C9" s="5">
        <f t="shared" si="0"/>
        <v>64</v>
      </c>
      <c r="D9" s="5">
        <f t="shared" si="1"/>
        <v>512</v>
      </c>
      <c r="E9" s="5">
        <f t="shared" si="2"/>
        <v>4096</v>
      </c>
      <c r="F9" s="5">
        <f t="shared" si="3"/>
        <v>32768</v>
      </c>
      <c r="G9" s="6">
        <f t="shared" si="4"/>
        <v>262144</v>
      </c>
      <c r="I9" s="24">
        <f t="shared" si="5"/>
        <v>3.365943380927447</v>
      </c>
      <c r="J9" s="25">
        <f t="shared" si="6"/>
        <v>-0.11134824524096976</v>
      </c>
      <c r="K9" s="26">
        <f t="shared" si="7"/>
        <v>1.2398431718243143E-2</v>
      </c>
      <c r="L9" s="36">
        <f xml:space="preserve"> (J$2*J10 + J$3*J11 + J$4*J12 + J$5*J13 + J$6*J14 + J$7*J15 + J$8*J16 + J$9*J17 + J$10*J18 + J$11*J19 + J$12*J20 + J$13*J21 + J$14*J22 + J$15*J23 + J$16*J24 + J$17*J25 + J$18*J26 + J$19*J27 + J$20*J28 + J$21*J29 + J$22*J30 + J$23*J31 + J$24*J32 + J$25*J33 + J$26*J34 + J$27*J35 + J$28*J36 + J$29*J37 + J$30*J38 + J$31*J39 + J$32*J40 + J$33*J41) / (32*$K$42)</f>
        <v>-0.35543763509002968</v>
      </c>
      <c r="M9" s="10">
        <v>0</v>
      </c>
      <c r="O9" s="40">
        <f t="shared" si="23"/>
        <v>1.8535103415417646</v>
      </c>
      <c r="P9" s="38">
        <f t="shared" si="8"/>
        <v>2.7839769645635677</v>
      </c>
      <c r="Q9" s="38">
        <f t="shared" si="9"/>
        <v>2.6888412573494644</v>
      </c>
      <c r="R9" s="38">
        <f t="shared" si="10"/>
        <v>2.2899831616307713</v>
      </c>
      <c r="S9" s="38">
        <f t="shared" si="11"/>
        <v>0.79043718305270527</v>
      </c>
      <c r="T9" s="38">
        <f t="shared" si="12"/>
        <v>1.4756124484359265</v>
      </c>
      <c r="U9" s="26">
        <f t="shared" si="13"/>
        <v>-0.11134824524096976</v>
      </c>
      <c r="W9" s="38">
        <f t="shared" si="14"/>
        <v>2.7839769645635677</v>
      </c>
      <c r="X9" s="38">
        <f t="shared" si="15"/>
        <v>2.6888412573494644</v>
      </c>
      <c r="Y9" s="38">
        <f t="shared" si="16"/>
        <v>2.2899831616307713</v>
      </c>
      <c r="Z9" s="38">
        <f t="shared" si="17"/>
        <v>0.79043718305270527</v>
      </c>
      <c r="AA9" s="25">
        <f t="shared" si="18"/>
        <v>-0.11134824524096976</v>
      </c>
      <c r="AC9" s="38">
        <f t="shared" si="19"/>
        <v>2.7839769645635677</v>
      </c>
      <c r="AD9" s="38">
        <f t="shared" si="20"/>
        <v>2.6888412573494644</v>
      </c>
      <c r="AE9" s="38">
        <f t="shared" si="21"/>
        <v>1.4756124484359265</v>
      </c>
      <c r="AF9" s="25">
        <f t="shared" si="22"/>
        <v>-0.11134824524096976</v>
      </c>
      <c r="AH9" s="19">
        <f t="shared" si="28"/>
        <v>-0.5523981489988159</v>
      </c>
      <c r="AI9" s="10"/>
      <c r="AJ9" s="24">
        <f t="shared" ref="AJ9:AJ46" si="30">I9 + $AA$49*J8 + $Z$49*J7 + $Y$49*J6</f>
        <v>2.6146997858184444</v>
      </c>
      <c r="AK9" s="25">
        <f t="shared" si="25"/>
        <v>0.63989534986803287</v>
      </c>
      <c r="AL9" s="6">
        <f t="shared" si="26"/>
        <v>0.40946605878273218</v>
      </c>
      <c r="AM9" s="24">
        <f t="shared" si="27"/>
        <v>0.44104990375784614</v>
      </c>
      <c r="AN9" s="26">
        <f t="shared" si="29"/>
        <v>2.8135452319286314</v>
      </c>
      <c r="AO9" s="19">
        <f xml:space="preserve"> (AK$5*AK9 + AK$6*AK10 + AK$7*AK11 + AK$8*AK12 + AK$9*AK13 + AK$10*AK14 + AK$11*AK15 + AK$12*AK16 + AK$13*AK17 + AK$14*AK18 + AK$15*AK19 + AK$16*AK20 +AK$17*AK21 + AK$18*AK22 + AK$19*AK23 +AK$20*AK24 + AK$21*AK25 + AK$22*AK26 + AK$23*AK27 + AK$24*AK28 + AK$25*AK29 + AK$26*AK30 + AK$27*AK31 + AK$28*AK32 + AK$29*AK33 + AK$30*AK34 + AK$31*AK35 + AK$32*AK36 + AK$33*AK37 + AK$34*AK38 + AK$35*AK39 + AK$36*AK40 + AK$37*AK41) / (36*$AL$42)</f>
        <v>2.6820615326668202E-2</v>
      </c>
      <c r="AP9" s="6">
        <v>1</v>
      </c>
      <c r="AQ9" s="19">
        <v>-0.34100000000000003</v>
      </c>
      <c r="AR9" s="6">
        <v>0.29099999999999998</v>
      </c>
    </row>
    <row r="10" spans="1:44">
      <c r="A10" s="12">
        <v>5.232419976889819</v>
      </c>
      <c r="B10" s="5">
        <v>9</v>
      </c>
      <c r="C10" s="5">
        <f t="shared" si="0"/>
        <v>81</v>
      </c>
      <c r="D10" s="5">
        <f t="shared" si="1"/>
        <v>729</v>
      </c>
      <c r="E10" s="5">
        <f t="shared" si="2"/>
        <v>6561</v>
      </c>
      <c r="F10" s="5">
        <f t="shared" si="3"/>
        <v>59049</v>
      </c>
      <c r="G10" s="6">
        <f t="shared" si="4"/>
        <v>531441</v>
      </c>
      <c r="I10" s="24">
        <f t="shared" si="5"/>
        <v>3.7568075284538924</v>
      </c>
      <c r="J10" s="25">
        <f t="shared" si="6"/>
        <v>1.4756124484359265</v>
      </c>
      <c r="K10" s="26">
        <f t="shared" si="7"/>
        <v>2.1774320979790698</v>
      </c>
      <c r="L10" s="36">
        <f xml:space="preserve"> (J$2*J11 + J$3*J12 + J$4*J13 + J$5*J14 + J$6*J15 + J$7*J16 + J$8*J17 + J$9*J18 + J$10*J19 + J$11*J20 + J$12*J21 + J$13*J22 + J$14*J23 + J$15*J24 + J$16*J25 + J$17*J26 + J$18*J27 + J$19*J28 + J$20*J29 + J$21*J30 + J$22*J31 + J$23*J32 + J$24*J33 + J$25*J34 + J$26*J35 + J$27*J36 + J$28*J37 + J$29*J38 + J$30*J39 + J$31*J40 + J$32*J41) / (31*$K$42)</f>
        <v>-0.54038716520410157</v>
      </c>
      <c r="M10" s="10">
        <v>0</v>
      </c>
      <c r="O10" s="40">
        <f t="shared" si="23"/>
        <v>1.2345336450626432</v>
      </c>
      <c r="P10" s="38">
        <f t="shared" si="8"/>
        <v>1.8535103415417646</v>
      </c>
      <c r="Q10" s="38">
        <f t="shared" si="9"/>
        <v>2.7839769645635677</v>
      </c>
      <c r="R10" s="38">
        <f t="shared" si="10"/>
        <v>2.6888412573494644</v>
      </c>
      <c r="S10" s="38">
        <f t="shared" si="11"/>
        <v>2.2899831616307713</v>
      </c>
      <c r="T10" s="38">
        <f t="shared" si="12"/>
        <v>0.79043718305270527</v>
      </c>
      <c r="U10" s="26">
        <f t="shared" si="13"/>
        <v>1.4756124484359265</v>
      </c>
      <c r="W10" s="38">
        <f t="shared" si="14"/>
        <v>1.8535103415417646</v>
      </c>
      <c r="X10" s="38">
        <f t="shared" si="15"/>
        <v>2.7839769645635677</v>
      </c>
      <c r="Y10" s="38">
        <f t="shared" si="16"/>
        <v>2.6888412573494644</v>
      </c>
      <c r="Z10" s="38">
        <f t="shared" si="17"/>
        <v>2.2899831616307713</v>
      </c>
      <c r="AA10" s="25">
        <f t="shared" si="18"/>
        <v>1.4756124484359265</v>
      </c>
      <c r="AC10" s="38">
        <f t="shared" si="19"/>
        <v>1.8535103415417646</v>
      </c>
      <c r="AD10" s="38">
        <f t="shared" si="20"/>
        <v>2.7839769645635677</v>
      </c>
      <c r="AE10" s="38">
        <f t="shared" si="21"/>
        <v>0.79043718305270527</v>
      </c>
      <c r="AF10" s="25">
        <f t="shared" si="22"/>
        <v>1.4756124484359265</v>
      </c>
      <c r="AH10" s="19">
        <f t="shared" si="28"/>
        <v>1.1683982306023328</v>
      </c>
      <c r="AI10" s="10"/>
      <c r="AJ10" s="24">
        <f t="shared" si="30"/>
        <v>3.0410841605780203</v>
      </c>
      <c r="AK10" s="25">
        <f t="shared" si="25"/>
        <v>2.1913358163117986</v>
      </c>
      <c r="AL10" s="6">
        <f t="shared" si="26"/>
        <v>4.8019526598508966</v>
      </c>
      <c r="AM10" s="24">
        <f t="shared" si="27"/>
        <v>0.30721421783359371</v>
      </c>
      <c r="AN10" s="26">
        <f t="shared" si="29"/>
        <v>4.925205759056225</v>
      </c>
      <c r="AO10" s="19">
        <f xml:space="preserve"> (AK$5*AK10 + AK$6*AK11 + AK$7*AK12 + AK$8*AK13 + AK$9*AK14 + AK$10*AK15 + AK$11*AK16 + AK$12*AK17 + AK$13*AK18 + AK$14*AK19 + AK$15*AK20 + AK$16*AK21 +AK$17*AK22 + AK$18*AK23 + AK$19*AK24 +AK$20*AK25 + AK$21*AK26 + AK$22*AK27 + AK$23*AK28 + AK$24*AK29 + AK$25*AK30 + AK$26*AK31 + AK$27*AK32 + AK$28*AK33 + AK$29*AK34 + AK$30*AK35 + AK$31*AK36 + AK$32*AK37 + AK$33*AK38 + AK$34*AK39 + AK$35*AK40 + AK$36*AK41) / (35*$AL$42)</f>
        <v>-3.3157760057173066E-2</v>
      </c>
      <c r="AP10" s="6">
        <v>1</v>
      </c>
      <c r="AQ10" s="19">
        <v>-0.34100000000000003</v>
      </c>
      <c r="AR10" s="6">
        <v>0.29099999999999998</v>
      </c>
    </row>
    <row r="11" spans="1:44" ht="15.75" thickBot="1">
      <c r="A11" s="12">
        <v>4.9301854349162797</v>
      </c>
      <c r="B11" s="5">
        <v>10</v>
      </c>
      <c r="C11" s="5">
        <f t="shared" si="0"/>
        <v>100</v>
      </c>
      <c r="D11" s="5">
        <f t="shared" si="1"/>
        <v>1000</v>
      </c>
      <c r="E11" s="5">
        <f t="shared" si="2"/>
        <v>10000</v>
      </c>
      <c r="F11" s="5">
        <f t="shared" si="3"/>
        <v>100000</v>
      </c>
      <c r="G11" s="6">
        <f t="shared" si="4"/>
        <v>1000000</v>
      </c>
      <c r="I11" s="27">
        <f t="shared" si="5"/>
        <v>4.1397482518635744</v>
      </c>
      <c r="J11" s="28">
        <f t="shared" si="6"/>
        <v>0.79043718305270527</v>
      </c>
      <c r="K11" s="29">
        <f t="shared" si="7"/>
        <v>0.62479094035229588</v>
      </c>
      <c r="L11" s="37">
        <f xml:space="preserve"> (J$2*J12 + J$3*J13 + J$4*J14 + J$5*J15 + J$6*J16 + J$7*J17 + J$8*J18 + J$9*J19 + J$10*J20 + J$11*J21 + J$12*J22 + J$13*J23 + J$14*J24 + J$15*J25 + J$16*J26 + J$17*J27 + J$18*J28 + J$19*J29 + J$20*J30 + J$21*J31 + J$22*J32 + J$23*J33 + J$24*J34 + J$25*J35 + J$26*J36 + J$27*J37 + J$28*J38 + J$29*J39 + J$30*J40 + J$31*J41) / (30*$K$42)</f>
        <v>-0.58230544491823788</v>
      </c>
      <c r="M11" s="11">
        <v>0</v>
      </c>
      <c r="O11" s="40">
        <f t="shared" si="23"/>
        <v>1.3901006976164645</v>
      </c>
      <c r="P11" s="38">
        <f t="shared" si="8"/>
        <v>1.2345336450626432</v>
      </c>
      <c r="Q11" s="38">
        <f t="shared" si="9"/>
        <v>1.8535103415417646</v>
      </c>
      <c r="R11" s="38">
        <f t="shared" si="10"/>
        <v>2.7839769645635677</v>
      </c>
      <c r="S11" s="38">
        <f t="shared" si="11"/>
        <v>2.6888412573494644</v>
      </c>
      <c r="T11" s="38">
        <f t="shared" si="12"/>
        <v>2.2899831616307713</v>
      </c>
      <c r="U11" s="26">
        <f t="shared" si="13"/>
        <v>0.79043718305270527</v>
      </c>
      <c r="W11" s="38">
        <f t="shared" si="14"/>
        <v>1.2345336450626432</v>
      </c>
      <c r="X11" s="38">
        <f t="shared" si="15"/>
        <v>1.8535103415417646</v>
      </c>
      <c r="Y11" s="38">
        <f t="shared" si="16"/>
        <v>2.7839769645635677</v>
      </c>
      <c r="Z11" s="38">
        <f t="shared" si="17"/>
        <v>2.6888412573494644</v>
      </c>
      <c r="AA11" s="25">
        <f t="shared" si="18"/>
        <v>0.79043718305270527</v>
      </c>
      <c r="AC11" s="38">
        <f t="shared" si="19"/>
        <v>1.2345336450626432</v>
      </c>
      <c r="AD11" s="38">
        <f t="shared" si="20"/>
        <v>1.8535103415417646</v>
      </c>
      <c r="AE11" s="38">
        <f t="shared" si="21"/>
        <v>2.2899831616307713</v>
      </c>
      <c r="AF11" s="25">
        <f t="shared" si="22"/>
        <v>0.79043718305270527</v>
      </c>
      <c r="AH11" s="19">
        <f t="shared" si="28"/>
        <v>0.99304158233583839</v>
      </c>
      <c r="AI11" s="10"/>
      <c r="AJ11" s="24">
        <f t="shared" si="30"/>
        <v>5.3457422727104982</v>
      </c>
      <c r="AK11" s="25">
        <f t="shared" si="25"/>
        <v>-0.41555683779421848</v>
      </c>
      <c r="AL11" s="6">
        <f t="shared" si="26"/>
        <v>0.1726874854375304</v>
      </c>
      <c r="AM11" s="24">
        <f t="shared" si="27"/>
        <v>-0.20260439928313312</v>
      </c>
      <c r="AN11" s="26">
        <f t="shared" si="29"/>
        <v>5.1327898341994125</v>
      </c>
      <c r="AO11" s="19">
        <f xml:space="preserve"> (AK$5*AK11 + AK$6*AK12 + AK$7*AK13 + AK$8*AK14 + AK$9*AK15 + AK$10*AK16 + AK$11*AK17 + AK$12*AK18 + AK$13*AK19 + AK$14*AK20 + AK$15*AK21 + AK$16*AK22 +AK$17*AK23 + AK$18*AK24 + AK$19*AK25 +AK$20*AK26 + AK$21*AK27 + AK$22*AK28 + AK$23*AK29 + AK$24*AK30 + AK$25*AK31 + AK$26*AK32 + AK$27*AK33 + AK$28*AK34 + AK$29*AK35 + AK$30*AK36 + AK$31*AK37 + AK$32*AK38 + AK$33*AK39 + AK$34*AK40 + AK$35*AK41) / (34*$AL$42)</f>
        <v>0.18577954633836821</v>
      </c>
      <c r="AP11" s="6">
        <v>1</v>
      </c>
      <c r="AQ11" s="19">
        <v>-0.34100000000000003</v>
      </c>
      <c r="AR11" s="6">
        <v>0.29099999999999998</v>
      </c>
    </row>
    <row r="12" spans="1:44">
      <c r="A12" s="12">
        <v>6.8047487127872603</v>
      </c>
      <c r="B12" s="5">
        <v>11</v>
      </c>
      <c r="C12" s="5">
        <f t="shared" si="0"/>
        <v>121</v>
      </c>
      <c r="D12" s="5">
        <f t="shared" si="1"/>
        <v>1331</v>
      </c>
      <c r="E12" s="5">
        <f t="shared" si="2"/>
        <v>14641</v>
      </c>
      <c r="F12" s="5">
        <f t="shared" si="3"/>
        <v>161051</v>
      </c>
      <c r="G12" s="6">
        <f t="shared" si="4"/>
        <v>1771561</v>
      </c>
      <c r="I12" s="24">
        <f t="shared" si="5"/>
        <v>4.514765551156489</v>
      </c>
      <c r="J12" s="25">
        <f t="shared" si="6"/>
        <v>2.2899831616307713</v>
      </c>
      <c r="K12" s="26">
        <f t="shared" si="7"/>
        <v>5.2440228805524631</v>
      </c>
      <c r="L12" s="2" t="s">
        <v>23</v>
      </c>
      <c r="M12" s="32">
        <v>6</v>
      </c>
      <c r="O12" s="40">
        <f t="shared" si="23"/>
        <v>1.9718021760787563</v>
      </c>
      <c r="P12" s="38">
        <f t="shared" si="8"/>
        <v>1.3901006976164645</v>
      </c>
      <c r="Q12" s="38">
        <f t="shared" si="9"/>
        <v>1.2345336450626432</v>
      </c>
      <c r="R12" s="38">
        <f t="shared" si="10"/>
        <v>1.8535103415417646</v>
      </c>
      <c r="S12" s="38">
        <f t="shared" si="11"/>
        <v>2.7839769645635677</v>
      </c>
      <c r="T12" s="38">
        <f t="shared" si="12"/>
        <v>2.6888412573494644</v>
      </c>
      <c r="U12" s="26">
        <f t="shared" si="13"/>
        <v>2.2899831616307713</v>
      </c>
      <c r="W12" s="38">
        <f t="shared" si="14"/>
        <v>1.3901006976164645</v>
      </c>
      <c r="X12" s="38">
        <f t="shared" si="15"/>
        <v>1.2345336450626432</v>
      </c>
      <c r="Y12" s="38">
        <f t="shared" si="16"/>
        <v>1.8535103415417646</v>
      </c>
      <c r="Z12" s="38">
        <f t="shared" si="17"/>
        <v>2.7839769645635677</v>
      </c>
      <c r="AA12" s="25">
        <f t="shared" si="18"/>
        <v>2.2899831616307713</v>
      </c>
      <c r="AC12" s="38">
        <f t="shared" si="19"/>
        <v>1.3901006976164645</v>
      </c>
      <c r="AD12" s="38">
        <f t="shared" si="20"/>
        <v>1.2345336450626432</v>
      </c>
      <c r="AE12" s="38">
        <f t="shared" si="21"/>
        <v>2.6888412573494644</v>
      </c>
      <c r="AF12" s="25">
        <f t="shared" si="22"/>
        <v>2.2899831616307713</v>
      </c>
      <c r="AH12" s="19">
        <f t="shared" si="28"/>
        <v>1.9666895885554432</v>
      </c>
      <c r="AI12" s="10"/>
      <c r="AJ12" s="24">
        <f t="shared" si="30"/>
        <v>5.4886163587219441</v>
      </c>
      <c r="AK12" s="25">
        <f t="shared" si="25"/>
        <v>1.3161323540653163</v>
      </c>
      <c r="AL12" s="6">
        <f t="shared" si="26"/>
        <v>1.732204373417511</v>
      </c>
      <c r="AM12" s="24">
        <f t="shared" si="27"/>
        <v>0.32329357307532813</v>
      </c>
      <c r="AN12" s="26">
        <f t="shared" si="29"/>
        <v>6.4814551397119322</v>
      </c>
      <c r="AO12" s="19">
        <f xml:space="preserve"> (AK$5*AK12 + AK$6*AK13 + AK$7*AK14 + AK$8*AK15 + AK$9*AK16 + AK$10*AK17 + AK$11*AK18 + AK$12*AK19 + AK$13*AK20 + AK$14*AK21 + AK$15*AK22 + AK$16*AK23 +AK$17*AK24 + AK$18*AK25 + AK$19*AK26 +AK$20*AK27 + AK$21*AK28 + AK$22*AK29 + AK$23*AK30 + AK$24*AK31 + AK$25*AK32 + AK$26*AK33 + AK$27*AK34 + AK$28*AK35 + AK$29*AK36 + AK$30*AK37 + AK$31*AK38 + AK$32*AK39 + AK$33*AK40 + AK$34*AK41) / (33*$AL$42)</f>
        <v>-9.2291980206481092E-2</v>
      </c>
      <c r="AP12" s="6">
        <v>1</v>
      </c>
      <c r="AQ12" s="19">
        <v>-0.34100000000000003</v>
      </c>
      <c r="AR12" s="6">
        <v>0.29099999999999998</v>
      </c>
    </row>
    <row r="13" spans="1:44">
      <c r="A13" s="12">
        <v>7.5707006836821051</v>
      </c>
      <c r="B13" s="5">
        <v>12</v>
      </c>
      <c r="C13" s="5">
        <f t="shared" si="0"/>
        <v>144</v>
      </c>
      <c r="D13" s="5">
        <f t="shared" si="1"/>
        <v>1728</v>
      </c>
      <c r="E13" s="5">
        <f t="shared" si="2"/>
        <v>20736</v>
      </c>
      <c r="F13" s="5">
        <f t="shared" si="3"/>
        <v>248832</v>
      </c>
      <c r="G13" s="6">
        <f t="shared" si="4"/>
        <v>2985984</v>
      </c>
      <c r="I13" s="24">
        <f t="shared" si="5"/>
        <v>4.8818594263326407</v>
      </c>
      <c r="J13" s="25">
        <f t="shared" si="6"/>
        <v>2.6888412573494644</v>
      </c>
      <c r="K13" s="26">
        <f t="shared" si="7"/>
        <v>7.2298673072246489</v>
      </c>
      <c r="L13" s="5"/>
      <c r="M13" s="5"/>
      <c r="O13" s="40">
        <f t="shared" si="23"/>
        <v>0.65167567496960466</v>
      </c>
      <c r="P13" s="38">
        <f t="shared" si="8"/>
        <v>1.9718021760787563</v>
      </c>
      <c r="Q13" s="38">
        <f t="shared" si="9"/>
        <v>1.3901006976164645</v>
      </c>
      <c r="R13" s="38">
        <f t="shared" si="10"/>
        <v>1.2345336450626432</v>
      </c>
      <c r="S13" s="38">
        <f t="shared" si="11"/>
        <v>1.8535103415417646</v>
      </c>
      <c r="T13" s="38">
        <f t="shared" si="12"/>
        <v>2.7839769645635677</v>
      </c>
      <c r="U13" s="26">
        <f t="shared" si="13"/>
        <v>2.6888412573494644</v>
      </c>
      <c r="W13" s="38">
        <f t="shared" si="14"/>
        <v>1.9718021760787563</v>
      </c>
      <c r="X13" s="38">
        <f t="shared" si="15"/>
        <v>1.3901006976164645</v>
      </c>
      <c r="Y13" s="38">
        <f t="shared" si="16"/>
        <v>1.2345336450626432</v>
      </c>
      <c r="Z13" s="38">
        <f t="shared" si="17"/>
        <v>1.8535103415417646</v>
      </c>
      <c r="AA13" s="25">
        <f t="shared" si="18"/>
        <v>2.6888412573494644</v>
      </c>
      <c r="AC13" s="38">
        <f t="shared" si="19"/>
        <v>1.9718021760787563</v>
      </c>
      <c r="AD13" s="38">
        <f t="shared" si="20"/>
        <v>1.3901006976164645</v>
      </c>
      <c r="AE13" s="38">
        <f t="shared" si="21"/>
        <v>2.7839769645635677</v>
      </c>
      <c r="AF13" s="25">
        <f t="shared" si="22"/>
        <v>2.6888412573494644</v>
      </c>
      <c r="AH13" s="19">
        <f t="shared" si="28"/>
        <v>2.2948171857993511</v>
      </c>
      <c r="AI13" s="10"/>
      <c r="AJ13" s="24">
        <f t="shared" si="30"/>
        <v>6.0811074169266934</v>
      </c>
      <c r="AK13" s="25">
        <f t="shared" si="25"/>
        <v>1.4895932667554117</v>
      </c>
      <c r="AL13" s="6">
        <f t="shared" si="26"/>
        <v>2.2188881003630589</v>
      </c>
      <c r="AM13" s="24">
        <f t="shared" si="27"/>
        <v>0.39402407155011332</v>
      </c>
      <c r="AN13" s="26">
        <f t="shared" si="29"/>
        <v>7.1766766121319918</v>
      </c>
      <c r="AO13" s="19">
        <f xml:space="preserve"> (AK$5*AK13 + AK$6*AK14 + AK$7*AK15 + AK$8*AK16 + AK$9*AK17 + AK$10*AK18 + AK$11*AK19 + AK$12*AK20 + AK$13*AK21 + AK$14*AK22 + AK$15*AK23 + AK$16*AK24 +AK$17*AK25 + AK$18*AK26 + AK$19*AK27 +AK$20*AK28 + AK$21*AK29 + AK$22*AK30 + AK$23*AK31 + AK$24*AK32 + AK$25*AK33 + AK$26*AK34 + AK$27*AK35 + AK$28*AK36 + AK$29*AK37 + AK$30*AK38 + AK$31*AK39 + AK$32*AK40 + AK$33*AK41) / (32*$AL$42)</f>
        <v>-3.7829300044085787E-2</v>
      </c>
      <c r="AP13" s="6">
        <v>1</v>
      </c>
      <c r="AQ13" s="19">
        <v>-0.34100000000000003</v>
      </c>
      <c r="AR13" s="6">
        <v>0.29099999999999998</v>
      </c>
    </row>
    <row r="14" spans="1:44">
      <c r="A14" s="12">
        <v>8.0250068419555927</v>
      </c>
      <c r="B14" s="5">
        <v>13</v>
      </c>
      <c r="C14" s="5">
        <f t="shared" si="0"/>
        <v>169</v>
      </c>
      <c r="D14" s="5">
        <f t="shared" si="1"/>
        <v>2197</v>
      </c>
      <c r="E14" s="5">
        <f t="shared" si="2"/>
        <v>28561</v>
      </c>
      <c r="F14" s="5">
        <f t="shared" si="3"/>
        <v>371293</v>
      </c>
      <c r="G14" s="6">
        <f t="shared" si="4"/>
        <v>4826809</v>
      </c>
      <c r="I14" s="24">
        <f t="shared" si="5"/>
        <v>5.241029877392025</v>
      </c>
      <c r="J14" s="25">
        <f t="shared" si="6"/>
        <v>2.7839769645635677</v>
      </c>
      <c r="K14" s="26">
        <f t="shared" si="7"/>
        <v>7.7505277392205763</v>
      </c>
      <c r="L14" s="5"/>
      <c r="M14" s="5"/>
      <c r="O14" s="40">
        <f t="shared" si="23"/>
        <v>1.4709369760842446</v>
      </c>
      <c r="P14" s="38">
        <f t="shared" si="8"/>
        <v>0.65167567496960466</v>
      </c>
      <c r="Q14" s="38">
        <f t="shared" si="9"/>
        <v>1.9718021760787563</v>
      </c>
      <c r="R14" s="38">
        <f t="shared" si="10"/>
        <v>1.3901006976164645</v>
      </c>
      <c r="S14" s="38">
        <f t="shared" si="11"/>
        <v>1.2345336450626432</v>
      </c>
      <c r="T14" s="38">
        <f t="shared" si="12"/>
        <v>1.8535103415417646</v>
      </c>
      <c r="U14" s="26">
        <f t="shared" si="13"/>
        <v>2.7839769645635677</v>
      </c>
      <c r="W14" s="38">
        <f t="shared" si="14"/>
        <v>0.65167567496960466</v>
      </c>
      <c r="X14" s="38">
        <f t="shared" si="15"/>
        <v>1.9718021760787563</v>
      </c>
      <c r="Y14" s="38">
        <f t="shared" si="16"/>
        <v>1.3901006976164645</v>
      </c>
      <c r="Z14" s="38">
        <f t="shared" si="17"/>
        <v>1.2345336450626432</v>
      </c>
      <c r="AA14" s="25">
        <f t="shared" si="18"/>
        <v>2.7839769645635677</v>
      </c>
      <c r="AC14" s="38">
        <f t="shared" si="19"/>
        <v>0.65167567496960466</v>
      </c>
      <c r="AD14" s="38">
        <f t="shared" si="20"/>
        <v>1.9718021760787563</v>
      </c>
      <c r="AE14" s="38">
        <f t="shared" si="21"/>
        <v>1.8535103415417646</v>
      </c>
      <c r="AF14" s="25">
        <f t="shared" si="22"/>
        <v>2.7839769645635677</v>
      </c>
      <c r="AH14" s="19">
        <f t="shared" si="28"/>
        <v>2.1353264343944987</v>
      </c>
      <c r="AI14" s="10"/>
      <c r="AJ14" s="24">
        <f t="shared" si="30"/>
        <v>7.336139502922804</v>
      </c>
      <c r="AK14" s="25">
        <f t="shared" si="25"/>
        <v>0.68886733903278863</v>
      </c>
      <c r="AL14" s="6">
        <f t="shared" si="26"/>
        <v>0.47453821078611497</v>
      </c>
      <c r="AM14" s="24">
        <f t="shared" si="27"/>
        <v>0.64865053016906904</v>
      </c>
      <c r="AN14" s="26">
        <f t="shared" si="29"/>
        <v>7.3763563117865232</v>
      </c>
      <c r="AO14" s="19">
        <f xml:space="preserve"> (AK$5*AK14 + AK$6*AK15 + AK$7*AK16 + AK$8*AK17 + AK$9*AK18 + AK$10*AK19 + AK$11*AK20 + AK$12*AK21 + AK$13*AK22 + AK$14*AK23 + AK$15*AK24 + AK$16*AK25 +AK$17*AK26 + AK$18*AK27 + AK$19*AK28 +AK$20*AK29 + AK$21*AK30 + AK$22*AK31 + AK$23*AK32 + AK$24*AK33 + AK$25*AK34 + AK$26*AK35 + AK$27*AK36 + AK$28*AK37 + AK$29*AK38 + AK$30*AK39 + AK$31*AK40 + AK$32*AK41) / (31*$AL$42)</f>
        <v>-0.24470217079824122</v>
      </c>
      <c r="AP14" s="6">
        <v>1</v>
      </c>
      <c r="AQ14" s="19">
        <v>-0.34100000000000003</v>
      </c>
      <c r="AR14" s="6">
        <v>0.29099999999999998</v>
      </c>
    </row>
    <row r="15" spans="1:44" ht="15.75" thickBot="1">
      <c r="A15" s="12">
        <v>7.4457872458764101</v>
      </c>
      <c r="B15" s="5">
        <v>14</v>
      </c>
      <c r="C15" s="5">
        <f t="shared" si="0"/>
        <v>196</v>
      </c>
      <c r="D15" s="5">
        <f t="shared" si="1"/>
        <v>2744</v>
      </c>
      <c r="E15" s="5">
        <f t="shared" si="2"/>
        <v>38416</v>
      </c>
      <c r="F15" s="5">
        <f t="shared" si="3"/>
        <v>537824</v>
      </c>
      <c r="G15" s="6">
        <f t="shared" si="4"/>
        <v>7529536</v>
      </c>
      <c r="I15" s="24">
        <f t="shared" si="5"/>
        <v>5.5922769043346454</v>
      </c>
      <c r="J15" s="25">
        <f t="shared" si="6"/>
        <v>1.8535103415417646</v>
      </c>
      <c r="K15" s="26">
        <f t="shared" si="7"/>
        <v>3.4355005862022692</v>
      </c>
      <c r="L15" s="5"/>
      <c r="M15" s="5"/>
      <c r="O15" s="40">
        <f t="shared" si="23"/>
        <v>-0.39022090956046984</v>
      </c>
      <c r="P15" s="38">
        <f t="shared" si="8"/>
        <v>1.4709369760842446</v>
      </c>
      <c r="Q15" s="38">
        <f t="shared" si="9"/>
        <v>0.65167567496960466</v>
      </c>
      <c r="R15" s="38">
        <f t="shared" si="10"/>
        <v>1.9718021760787563</v>
      </c>
      <c r="S15" s="38">
        <f t="shared" si="11"/>
        <v>1.3901006976164645</v>
      </c>
      <c r="T15" s="38">
        <f t="shared" si="12"/>
        <v>1.2345336450626432</v>
      </c>
      <c r="U15" s="26">
        <f t="shared" si="13"/>
        <v>1.8535103415417646</v>
      </c>
      <c r="W15" s="38">
        <f t="shared" si="14"/>
        <v>1.4709369760842446</v>
      </c>
      <c r="X15" s="38">
        <f t="shared" si="15"/>
        <v>0.65167567496960466</v>
      </c>
      <c r="Y15" s="38">
        <f t="shared" si="16"/>
        <v>1.9718021760787563</v>
      </c>
      <c r="Z15" s="38">
        <f t="shared" si="17"/>
        <v>1.3901006976164645</v>
      </c>
      <c r="AA15" s="25">
        <f t="shared" si="18"/>
        <v>1.8535103415417646</v>
      </c>
      <c r="AC15" s="38">
        <f t="shared" si="19"/>
        <v>1.4709369760842446</v>
      </c>
      <c r="AD15" s="38">
        <f t="shared" si="20"/>
        <v>0.65167567496960466</v>
      </c>
      <c r="AE15" s="38">
        <f t="shared" si="21"/>
        <v>1.2345336450626432</v>
      </c>
      <c r="AF15" s="25">
        <f t="shared" si="22"/>
        <v>1.8535103415417646</v>
      </c>
      <c r="AH15" s="19">
        <f t="shared" si="28"/>
        <v>1.8132236422543013</v>
      </c>
      <c r="AI15" s="10"/>
      <c r="AJ15" s="24">
        <f t="shared" si="30"/>
        <v>7.5472544628396161</v>
      </c>
      <c r="AK15" s="25">
        <f t="shared" si="25"/>
        <v>-0.10146721696320604</v>
      </c>
      <c r="AL15" s="6">
        <f t="shared" si="26"/>
        <v>1.0295596118258327E-2</v>
      </c>
      <c r="AM15" s="24">
        <f t="shared" si="27"/>
        <v>4.0286699287463312E-2</v>
      </c>
      <c r="AN15" s="26">
        <f t="shared" si="29"/>
        <v>7.4055005465889465</v>
      </c>
      <c r="AO15" s="20">
        <f xml:space="preserve"> (AK$5*AK15 + AK$6*AK16 + AK$7*AK17 + AK$8*AK18 + AK$9*AK19 + AK$10*AK20 + AK$11*AK21 + AK$12*AK22 + AK$13*AK23 + AK$14*AK24 + AK$15*AK25 + AK$16*AK26 +AK$17*AK27 + AK$18*AK28 + AK$19*AK29 +AK$20*AK30 + AK$21*AK31 + AK$22*AK32 + AK$23*AK33 + AK$24*AK34 + AK$25*AK35 + AK$26*AK36 + AK$27*AK37 + AK$28*AK38 + AK$29*AK39 + AK$30*AK40 + AK$31*AK41) / (30*$AL$42)</f>
        <v>5.8255481641504056E-2</v>
      </c>
      <c r="AP15" s="8">
        <v>1</v>
      </c>
      <c r="AQ15" s="20">
        <v>-0.34100000000000003</v>
      </c>
      <c r="AR15" s="8">
        <v>0.29099999999999998</v>
      </c>
    </row>
    <row r="16" spans="1:44">
      <c r="A16" s="12">
        <v>7.1701341522231425</v>
      </c>
      <c r="B16" s="5">
        <v>15</v>
      </c>
      <c r="C16" s="5">
        <f t="shared" si="0"/>
        <v>225</v>
      </c>
      <c r="D16" s="5">
        <f t="shared" si="1"/>
        <v>3375</v>
      </c>
      <c r="E16" s="5">
        <f t="shared" si="2"/>
        <v>50625</v>
      </c>
      <c r="F16" s="5">
        <f t="shared" si="3"/>
        <v>759375</v>
      </c>
      <c r="G16" s="6">
        <f t="shared" si="4"/>
        <v>11390625</v>
      </c>
      <c r="I16" s="24">
        <f t="shared" si="5"/>
        <v>5.9356005071604994</v>
      </c>
      <c r="J16" s="25">
        <f t="shared" si="6"/>
        <v>1.2345336450626432</v>
      </c>
      <c r="K16" s="26">
        <f t="shared" si="7"/>
        <v>1.5240733207916564</v>
      </c>
      <c r="L16" s="5"/>
      <c r="M16" s="5"/>
      <c r="O16" s="40">
        <f t="shared" si="23"/>
        <v>-1.8162367854810002</v>
      </c>
      <c r="P16" s="38">
        <f t="shared" si="8"/>
        <v>-0.39022090956046984</v>
      </c>
      <c r="Q16" s="38">
        <f t="shared" si="9"/>
        <v>1.4709369760842446</v>
      </c>
      <c r="R16" s="38">
        <f t="shared" si="10"/>
        <v>0.65167567496960466</v>
      </c>
      <c r="S16" s="38">
        <f t="shared" si="11"/>
        <v>1.9718021760787563</v>
      </c>
      <c r="T16" s="38">
        <f t="shared" si="12"/>
        <v>1.3901006976164645</v>
      </c>
      <c r="U16" s="26">
        <f t="shared" si="13"/>
        <v>1.2345336450626432</v>
      </c>
      <c r="W16" s="38">
        <f t="shared" si="14"/>
        <v>-0.39022090956046984</v>
      </c>
      <c r="X16" s="38">
        <f t="shared" si="15"/>
        <v>1.4709369760842446</v>
      </c>
      <c r="Y16" s="38">
        <f t="shared" si="16"/>
        <v>0.65167567496960466</v>
      </c>
      <c r="Z16" s="38">
        <f t="shared" si="17"/>
        <v>1.9718021760787563</v>
      </c>
      <c r="AA16" s="25">
        <f t="shared" si="18"/>
        <v>1.2345336450626432</v>
      </c>
      <c r="AC16" s="38">
        <f t="shared" si="19"/>
        <v>-0.39022090956046984</v>
      </c>
      <c r="AD16" s="38">
        <f t="shared" si="20"/>
        <v>1.4709369760842446</v>
      </c>
      <c r="AE16" s="38">
        <f t="shared" si="21"/>
        <v>1.3901006976164645</v>
      </c>
      <c r="AF16" s="25">
        <f t="shared" si="22"/>
        <v>1.2345336450626432</v>
      </c>
      <c r="AH16" s="19">
        <f t="shared" si="28"/>
        <v>0.8168893533754007</v>
      </c>
      <c r="AI16" s="10"/>
      <c r="AJ16" s="24">
        <f t="shared" si="30"/>
        <v>7.3284074580527641</v>
      </c>
      <c r="AK16" s="25">
        <f t="shared" si="25"/>
        <v>-0.15827330582962151</v>
      </c>
      <c r="AL16" s="6">
        <f t="shared" si="26"/>
        <v>2.5050439338236904E-2</v>
      </c>
      <c r="AM16" s="24">
        <f t="shared" si="27"/>
        <v>0.41764429168724249</v>
      </c>
      <c r="AN16" s="26">
        <f t="shared" si="29"/>
        <v>6.7524898605359001</v>
      </c>
    </row>
    <row r="17" spans="1:40">
      <c r="A17" s="12">
        <v>7.661101383486054</v>
      </c>
      <c r="B17" s="5">
        <v>16</v>
      </c>
      <c r="C17" s="5">
        <f t="shared" si="0"/>
        <v>256</v>
      </c>
      <c r="D17" s="5">
        <f t="shared" si="1"/>
        <v>4096</v>
      </c>
      <c r="E17" s="5">
        <f t="shared" si="2"/>
        <v>65536</v>
      </c>
      <c r="F17" s="5">
        <f t="shared" si="3"/>
        <v>1048576</v>
      </c>
      <c r="G17" s="6">
        <f t="shared" si="4"/>
        <v>16777216</v>
      </c>
      <c r="I17" s="24">
        <f t="shared" si="5"/>
        <v>6.2710006858695895</v>
      </c>
      <c r="J17" s="25">
        <f t="shared" si="6"/>
        <v>1.3901006976164645</v>
      </c>
      <c r="K17" s="26">
        <f t="shared" si="7"/>
        <v>1.9323799495137812</v>
      </c>
      <c r="O17" s="40">
        <f t="shared" si="23"/>
        <v>-0.44059998679409507</v>
      </c>
      <c r="P17" s="38">
        <f t="shared" si="8"/>
        <v>-1.8162367854810002</v>
      </c>
      <c r="Q17" s="38">
        <f t="shared" si="9"/>
        <v>-0.39022090956046984</v>
      </c>
      <c r="R17" s="38">
        <f t="shared" si="10"/>
        <v>1.4709369760842446</v>
      </c>
      <c r="S17" s="38">
        <f t="shared" si="11"/>
        <v>0.65167567496960466</v>
      </c>
      <c r="T17" s="38">
        <f t="shared" si="12"/>
        <v>1.9718021760787563</v>
      </c>
      <c r="U17" s="26">
        <f t="shared" si="13"/>
        <v>1.3901006976164645</v>
      </c>
      <c r="W17" s="38">
        <f t="shared" si="14"/>
        <v>-1.8162367854810002</v>
      </c>
      <c r="X17" s="38">
        <f t="shared" si="15"/>
        <v>-0.39022090956046984</v>
      </c>
      <c r="Y17" s="38">
        <f t="shared" si="16"/>
        <v>1.4709369760842446</v>
      </c>
      <c r="Z17" s="38">
        <f t="shared" si="17"/>
        <v>0.65167567496960466</v>
      </c>
      <c r="AA17" s="25">
        <f t="shared" si="18"/>
        <v>1.3901006976164645</v>
      </c>
      <c r="AC17" s="38">
        <f t="shared" si="19"/>
        <v>-1.8162367854810002</v>
      </c>
      <c r="AD17" s="38">
        <f t="shared" si="20"/>
        <v>-0.39022090956046984</v>
      </c>
      <c r="AE17" s="38">
        <f t="shared" si="21"/>
        <v>1.9718021760787563</v>
      </c>
      <c r="AF17" s="25">
        <f t="shared" si="22"/>
        <v>1.3901006976164645</v>
      </c>
      <c r="AH17" s="19">
        <f t="shared" si="28"/>
        <v>0.59596648487903991</v>
      </c>
      <c r="AI17" s="10"/>
      <c r="AJ17" s="24">
        <f t="shared" si="30"/>
        <v>6.978491179964049</v>
      </c>
      <c r="AK17" s="25">
        <f t="shared" si="25"/>
        <v>0.68261020352200497</v>
      </c>
      <c r="AL17" s="6">
        <f t="shared" si="26"/>
        <v>0.46595668995235306</v>
      </c>
      <c r="AM17" s="24">
        <f t="shared" si="27"/>
        <v>0.79413421273742457</v>
      </c>
      <c r="AN17" s="26">
        <f t="shared" si="29"/>
        <v>6.8669671707486293</v>
      </c>
    </row>
    <row r="18" spans="1:40">
      <c r="A18" s="12">
        <v>8.5702796165406685</v>
      </c>
      <c r="B18" s="5">
        <v>17</v>
      </c>
      <c r="C18" s="5">
        <f t="shared" si="0"/>
        <v>289</v>
      </c>
      <c r="D18" s="5">
        <f t="shared" si="1"/>
        <v>4913</v>
      </c>
      <c r="E18" s="5">
        <f t="shared" si="2"/>
        <v>83521</v>
      </c>
      <c r="F18" s="5">
        <f t="shared" si="3"/>
        <v>1419857</v>
      </c>
      <c r="G18" s="6">
        <f t="shared" si="4"/>
        <v>24137569</v>
      </c>
      <c r="I18" s="24">
        <f t="shared" si="5"/>
        <v>6.5984774404619122</v>
      </c>
      <c r="J18" s="25">
        <f t="shared" si="6"/>
        <v>1.9718021760787563</v>
      </c>
      <c r="K18" s="26">
        <f t="shared" si="7"/>
        <v>3.8880038215889186</v>
      </c>
      <c r="O18" s="40">
        <f t="shared" si="23"/>
        <v>-0.44207069515265651</v>
      </c>
      <c r="P18" s="38">
        <f t="shared" si="8"/>
        <v>-0.44059998679409507</v>
      </c>
      <c r="Q18" s="38">
        <f t="shared" si="9"/>
        <v>-1.8162367854810002</v>
      </c>
      <c r="R18" s="38">
        <f t="shared" si="10"/>
        <v>-0.39022090956046984</v>
      </c>
      <c r="S18" s="38">
        <f t="shared" si="11"/>
        <v>1.4709369760842446</v>
      </c>
      <c r="T18" s="38">
        <f t="shared" si="12"/>
        <v>0.65167567496960466</v>
      </c>
      <c r="U18" s="26">
        <f t="shared" si="13"/>
        <v>1.9718021760787563</v>
      </c>
      <c r="W18" s="38">
        <f t="shared" si="14"/>
        <v>-0.44059998679409507</v>
      </c>
      <c r="X18" s="38">
        <f t="shared" si="15"/>
        <v>-1.8162367854810002</v>
      </c>
      <c r="Y18" s="38">
        <f t="shared" si="16"/>
        <v>-0.39022090956046984</v>
      </c>
      <c r="Z18" s="38">
        <f t="shared" si="17"/>
        <v>1.4709369760842446</v>
      </c>
      <c r="AA18" s="25">
        <f t="shared" si="18"/>
        <v>1.9718021760787563</v>
      </c>
      <c r="AC18" s="38">
        <f t="shared" si="19"/>
        <v>-0.44059998679409507</v>
      </c>
      <c r="AD18" s="38">
        <f t="shared" si="20"/>
        <v>-1.8162367854810002</v>
      </c>
      <c r="AE18" s="38">
        <f t="shared" si="21"/>
        <v>0.65167567496960466</v>
      </c>
      <c r="AF18" s="25">
        <f t="shared" si="22"/>
        <v>1.9718021760787563</v>
      </c>
      <c r="AH18" s="19">
        <f t="shared" si="28"/>
        <v>0.94665864120536747</v>
      </c>
      <c r="AI18" s="10"/>
      <c r="AJ18" s="24">
        <f t="shared" si="30"/>
        <v>7.3794346049181572</v>
      </c>
      <c r="AK18" s="25">
        <f t="shared" si="25"/>
        <v>1.1908450116225113</v>
      </c>
      <c r="AL18" s="6">
        <f t="shared" si="26"/>
        <v>1.4181118417062191</v>
      </c>
      <c r="AM18" s="24">
        <f t="shared" si="27"/>
        <v>1.0251435348733888</v>
      </c>
      <c r="AN18" s="26">
        <f t="shared" si="29"/>
        <v>7.5451360816672794</v>
      </c>
    </row>
    <row r="19" spans="1:40">
      <c r="A19" s="12">
        <v>7.5697064459070749</v>
      </c>
      <c r="B19" s="5">
        <v>18</v>
      </c>
      <c r="C19" s="5">
        <f t="shared" si="0"/>
        <v>324</v>
      </c>
      <c r="D19" s="5">
        <f t="shared" si="1"/>
        <v>5832</v>
      </c>
      <c r="E19" s="5">
        <f t="shared" si="2"/>
        <v>104976</v>
      </c>
      <c r="F19" s="5">
        <f t="shared" si="3"/>
        <v>1889568</v>
      </c>
      <c r="G19" s="6">
        <f t="shared" si="4"/>
        <v>34012224</v>
      </c>
      <c r="I19" s="24">
        <f t="shared" si="5"/>
        <v>6.9180307709374702</v>
      </c>
      <c r="J19" s="25">
        <f t="shared" si="6"/>
        <v>0.65167567496960466</v>
      </c>
      <c r="K19" s="26">
        <f t="shared" si="7"/>
        <v>0.42468118534708982</v>
      </c>
      <c r="O19" s="40">
        <f t="shared" si="23"/>
        <v>-2.384392923650255</v>
      </c>
      <c r="P19" s="38">
        <f t="shared" si="8"/>
        <v>-0.44207069515265651</v>
      </c>
      <c r="Q19" s="38">
        <f t="shared" si="9"/>
        <v>-0.44059998679409507</v>
      </c>
      <c r="R19" s="38">
        <f t="shared" si="10"/>
        <v>-1.8162367854810002</v>
      </c>
      <c r="S19" s="38">
        <f t="shared" si="11"/>
        <v>-0.39022090956046984</v>
      </c>
      <c r="T19" s="38">
        <f t="shared" si="12"/>
        <v>1.4709369760842446</v>
      </c>
      <c r="U19" s="26">
        <f t="shared" si="13"/>
        <v>0.65167567496960466</v>
      </c>
      <c r="W19" s="38">
        <f t="shared" si="14"/>
        <v>-0.44207069515265651</v>
      </c>
      <c r="X19" s="38">
        <f t="shared" si="15"/>
        <v>-0.44059998679409507</v>
      </c>
      <c r="Y19" s="38">
        <f t="shared" si="16"/>
        <v>-1.8162367854810002</v>
      </c>
      <c r="Z19" s="38">
        <f t="shared" si="17"/>
        <v>-0.39022090956046984</v>
      </c>
      <c r="AA19" s="25">
        <f t="shared" si="18"/>
        <v>0.65167567496960466</v>
      </c>
      <c r="AC19" s="38">
        <f t="shared" si="19"/>
        <v>-0.44207069515265651</v>
      </c>
      <c r="AD19" s="38">
        <f t="shared" si="20"/>
        <v>-0.44059998679409507</v>
      </c>
      <c r="AE19" s="38">
        <f t="shared" si="21"/>
        <v>1.4709369760842446</v>
      </c>
      <c r="AF19" s="25">
        <f t="shared" si="22"/>
        <v>0.65167567496960466</v>
      </c>
      <c r="AH19" s="19">
        <f t="shared" si="28"/>
        <v>0.63734536008908571</v>
      </c>
      <c r="AI19" s="10"/>
      <c r="AJ19" s="24">
        <f t="shared" si="30"/>
        <v>8.2078259670298124</v>
      </c>
      <c r="AK19" s="25">
        <f t="shared" si="25"/>
        <v>-0.63811952112273751</v>
      </c>
      <c r="AL19" s="6">
        <f t="shared" si="26"/>
        <v>0.40719652323791183</v>
      </c>
      <c r="AM19" s="24">
        <f t="shared" si="27"/>
        <v>1.4330314880518946E-2</v>
      </c>
      <c r="AN19" s="26">
        <f t="shared" si="29"/>
        <v>7.5553761310265557</v>
      </c>
    </row>
    <row r="20" spans="1:40">
      <c r="A20" s="12">
        <v>8.7005976533805089</v>
      </c>
      <c r="B20" s="5">
        <v>19</v>
      </c>
      <c r="C20" s="5">
        <f t="shared" si="0"/>
        <v>361</v>
      </c>
      <c r="D20" s="5">
        <f t="shared" si="1"/>
        <v>6859</v>
      </c>
      <c r="E20" s="5">
        <f t="shared" si="2"/>
        <v>130321</v>
      </c>
      <c r="F20" s="5">
        <f t="shared" si="3"/>
        <v>2476099</v>
      </c>
      <c r="G20" s="6">
        <f t="shared" si="4"/>
        <v>47045881</v>
      </c>
      <c r="I20" s="24">
        <f t="shared" si="5"/>
        <v>7.2296606772962644</v>
      </c>
      <c r="J20" s="25">
        <f t="shared" si="6"/>
        <v>1.4709369760842446</v>
      </c>
      <c r="K20" s="26">
        <f t="shared" si="7"/>
        <v>2.1636555876118613</v>
      </c>
      <c r="O20" s="40">
        <f t="shared" si="23"/>
        <v>-1.4375192642862551</v>
      </c>
      <c r="P20" s="38">
        <f t="shared" si="8"/>
        <v>-2.384392923650255</v>
      </c>
      <c r="Q20" s="38">
        <f t="shared" si="9"/>
        <v>-0.44207069515265651</v>
      </c>
      <c r="R20" s="38">
        <f t="shared" si="10"/>
        <v>-0.44059998679409507</v>
      </c>
      <c r="S20" s="38">
        <f t="shared" si="11"/>
        <v>-1.8162367854810002</v>
      </c>
      <c r="T20" s="38">
        <f t="shared" si="12"/>
        <v>-0.39022090956046984</v>
      </c>
      <c r="U20" s="26">
        <f t="shared" si="13"/>
        <v>1.4709369760842446</v>
      </c>
      <c r="W20" s="38">
        <f t="shared" si="14"/>
        <v>-2.384392923650255</v>
      </c>
      <c r="X20" s="38">
        <f t="shared" si="15"/>
        <v>-0.44207069515265651</v>
      </c>
      <c r="Y20" s="38">
        <f t="shared" si="16"/>
        <v>-0.44059998679409507</v>
      </c>
      <c r="Z20" s="38">
        <f t="shared" si="17"/>
        <v>-1.8162367854810002</v>
      </c>
      <c r="AA20" s="25">
        <f t="shared" si="18"/>
        <v>1.4709369760842446</v>
      </c>
      <c r="AC20" s="38">
        <f t="shared" si="19"/>
        <v>-2.384392923650255</v>
      </c>
      <c r="AD20" s="38">
        <f t="shared" si="20"/>
        <v>-0.44207069515265651</v>
      </c>
      <c r="AE20" s="38">
        <f t="shared" si="21"/>
        <v>-0.39022090956046984</v>
      </c>
      <c r="AF20" s="25">
        <f t="shared" si="22"/>
        <v>1.4709369760842446</v>
      </c>
      <c r="AH20" s="19">
        <f t="shared" si="28"/>
        <v>0.75738746489438324</v>
      </c>
      <c r="AI20" s="10"/>
      <c r="AJ20" s="24">
        <f t="shared" si="30"/>
        <v>7.9696317912394159</v>
      </c>
      <c r="AK20" s="25">
        <f t="shared" si="25"/>
        <v>0.73096586214109305</v>
      </c>
      <c r="AL20" s="6">
        <f t="shared" si="26"/>
        <v>0.53431109161567147</v>
      </c>
      <c r="AM20" s="24">
        <f t="shared" si="27"/>
        <v>0.71354951118986132</v>
      </c>
      <c r="AN20" s="26">
        <f t="shared" si="29"/>
        <v>7.9870481421906474</v>
      </c>
    </row>
    <row r="21" spans="1:40">
      <c r="A21" s="12">
        <v>7.1431462499778213</v>
      </c>
      <c r="B21" s="5">
        <v>20</v>
      </c>
      <c r="C21" s="5">
        <f t="shared" si="0"/>
        <v>400</v>
      </c>
      <c r="D21" s="5">
        <f t="shared" si="1"/>
        <v>8000</v>
      </c>
      <c r="E21" s="5">
        <f t="shared" si="2"/>
        <v>160000</v>
      </c>
      <c r="F21" s="5">
        <f t="shared" si="3"/>
        <v>3200000</v>
      </c>
      <c r="G21" s="6">
        <f t="shared" si="4"/>
        <v>64000000</v>
      </c>
      <c r="I21" s="24">
        <f t="shared" si="5"/>
        <v>7.5333671595382912</v>
      </c>
      <c r="J21" s="25">
        <f t="shared" si="6"/>
        <v>-0.39022090956046984</v>
      </c>
      <c r="K21" s="26">
        <f t="shared" si="7"/>
        <v>0.15227235825820037</v>
      </c>
      <c r="O21" s="40">
        <f t="shared" si="23"/>
        <v>-3.2258557427764432</v>
      </c>
      <c r="P21" s="38">
        <f t="shared" si="8"/>
        <v>-1.4375192642862551</v>
      </c>
      <c r="Q21" s="38">
        <f t="shared" si="9"/>
        <v>-2.384392923650255</v>
      </c>
      <c r="R21" s="38">
        <f t="shared" si="10"/>
        <v>-0.44207069515265651</v>
      </c>
      <c r="S21" s="38">
        <f t="shared" si="11"/>
        <v>-0.44059998679409507</v>
      </c>
      <c r="T21" s="38">
        <f t="shared" si="12"/>
        <v>-1.8162367854810002</v>
      </c>
      <c r="U21" s="26">
        <f t="shared" si="13"/>
        <v>-0.39022090956046984</v>
      </c>
      <c r="W21" s="38">
        <f t="shared" si="14"/>
        <v>-1.4375192642862551</v>
      </c>
      <c r="X21" s="38">
        <f t="shared" si="15"/>
        <v>-2.384392923650255</v>
      </c>
      <c r="Y21" s="38">
        <f t="shared" si="16"/>
        <v>-0.44207069515265651</v>
      </c>
      <c r="Z21" s="38">
        <f t="shared" si="17"/>
        <v>-0.44059998679409507</v>
      </c>
      <c r="AA21" s="25">
        <f t="shared" si="18"/>
        <v>-0.39022090956046984</v>
      </c>
      <c r="AC21" s="38">
        <f t="shared" si="19"/>
        <v>-1.4375192642862551</v>
      </c>
      <c r="AD21" s="38">
        <f t="shared" si="20"/>
        <v>-2.384392923650255</v>
      </c>
      <c r="AE21" s="38">
        <f t="shared" si="21"/>
        <v>-1.8162367854810002</v>
      </c>
      <c r="AF21" s="25">
        <f t="shared" si="22"/>
        <v>-0.39022090956046984</v>
      </c>
      <c r="AH21" s="19">
        <f t="shared" si="28"/>
        <v>-3.948528349426661E-3</v>
      </c>
      <c r="AI21" s="10"/>
      <c r="AJ21" s="24">
        <f t="shared" si="30"/>
        <v>8.1274806404311573</v>
      </c>
      <c r="AK21" s="25">
        <f t="shared" si="25"/>
        <v>-0.98433439045333593</v>
      </c>
      <c r="AL21" s="6">
        <f t="shared" si="26"/>
        <v>0.96891419222914044</v>
      </c>
      <c r="AM21" s="24">
        <f t="shared" si="27"/>
        <v>-0.38627238121104318</v>
      </c>
      <c r="AN21" s="26">
        <f t="shared" si="29"/>
        <v>7.5294186311888645</v>
      </c>
    </row>
    <row r="22" spans="1:40">
      <c r="A22" s="12">
        <v>6.0129134321825548</v>
      </c>
      <c r="B22" s="5">
        <v>21</v>
      </c>
      <c r="C22" s="5">
        <f t="shared" si="0"/>
        <v>441</v>
      </c>
      <c r="D22" s="5">
        <f t="shared" si="1"/>
        <v>9261</v>
      </c>
      <c r="E22" s="5">
        <f t="shared" si="2"/>
        <v>194481</v>
      </c>
      <c r="F22" s="5">
        <f t="shared" si="3"/>
        <v>4084101</v>
      </c>
      <c r="G22" s="6">
        <f t="shared" si="4"/>
        <v>85766121</v>
      </c>
      <c r="I22" s="24">
        <f t="shared" si="5"/>
        <v>7.829150217663555</v>
      </c>
      <c r="J22" s="25">
        <f t="shared" si="6"/>
        <v>-1.8162367854810002</v>
      </c>
      <c r="K22" s="26">
        <f t="shared" si="7"/>
        <v>3.2987160609343569</v>
      </c>
      <c r="O22" s="40">
        <f t="shared" si="23"/>
        <v>-1.9609809139025547</v>
      </c>
      <c r="P22" s="38">
        <f t="shared" si="8"/>
        <v>-3.2258557427764432</v>
      </c>
      <c r="Q22" s="38">
        <f t="shared" si="9"/>
        <v>-1.4375192642862551</v>
      </c>
      <c r="R22" s="38">
        <f t="shared" si="10"/>
        <v>-2.384392923650255</v>
      </c>
      <c r="S22" s="38">
        <f t="shared" si="11"/>
        <v>-0.44207069515265651</v>
      </c>
      <c r="T22" s="38">
        <f t="shared" si="12"/>
        <v>-0.44059998679409507</v>
      </c>
      <c r="U22" s="26">
        <f t="shared" si="13"/>
        <v>-1.8162367854810002</v>
      </c>
      <c r="W22" s="38">
        <f t="shared" si="14"/>
        <v>-3.2258557427764432</v>
      </c>
      <c r="X22" s="38">
        <f t="shared" si="15"/>
        <v>-1.4375192642862551</v>
      </c>
      <c r="Y22" s="38">
        <f t="shared" si="16"/>
        <v>-2.384392923650255</v>
      </c>
      <c r="Z22" s="38">
        <f t="shared" si="17"/>
        <v>-0.44207069515265651</v>
      </c>
      <c r="AA22" s="25">
        <f t="shared" si="18"/>
        <v>-1.8162367854810002</v>
      </c>
      <c r="AC22" s="38">
        <f t="shared" si="19"/>
        <v>-3.2258557427764432</v>
      </c>
      <c r="AD22" s="38">
        <f t="shared" si="20"/>
        <v>-1.4375192642862551</v>
      </c>
      <c r="AE22" s="38">
        <f t="shared" si="21"/>
        <v>-0.44059998679409507</v>
      </c>
      <c r="AF22" s="25">
        <f t="shared" si="22"/>
        <v>-1.8162367854810002</v>
      </c>
      <c r="AH22" s="19">
        <f t="shared" si="28"/>
        <v>-1.5638700740028764</v>
      </c>
      <c r="AI22" s="10"/>
      <c r="AJ22" s="24">
        <f t="shared" si="30"/>
        <v>7.9887317875916146</v>
      </c>
      <c r="AK22" s="25">
        <f t="shared" si="25"/>
        <v>-1.9758183554090598</v>
      </c>
      <c r="AL22" s="6">
        <f t="shared" si="26"/>
        <v>3.9038581735713618</v>
      </c>
      <c r="AM22" s="24">
        <f t="shared" si="27"/>
        <v>-0.25236671147812384</v>
      </c>
      <c r="AN22" s="26">
        <f t="shared" si="29"/>
        <v>6.2652801436606786</v>
      </c>
    </row>
    <row r="23" spans="1:40">
      <c r="A23" s="12">
        <v>7.6764098648779564</v>
      </c>
      <c r="B23" s="5">
        <v>22</v>
      </c>
      <c r="C23" s="5">
        <f t="shared" si="0"/>
        <v>484</v>
      </c>
      <c r="D23" s="5">
        <f t="shared" si="1"/>
        <v>10648</v>
      </c>
      <c r="E23" s="5">
        <f t="shared" si="2"/>
        <v>234256</v>
      </c>
      <c r="F23" s="5">
        <f t="shared" si="3"/>
        <v>5153632</v>
      </c>
      <c r="G23" s="6">
        <f t="shared" si="4"/>
        <v>113379904</v>
      </c>
      <c r="I23" s="24">
        <f t="shared" si="5"/>
        <v>8.1170098516720515</v>
      </c>
      <c r="J23" s="25">
        <f t="shared" si="6"/>
        <v>-0.44059998679409507</v>
      </c>
      <c r="K23" s="26">
        <f t="shared" si="7"/>
        <v>0.19412834836295675</v>
      </c>
      <c r="O23" s="40">
        <f t="shared" si="23"/>
        <v>-1.355881289036958</v>
      </c>
      <c r="P23" s="38">
        <f t="shared" si="8"/>
        <v>-1.9609809139025547</v>
      </c>
      <c r="Q23" s="38">
        <f t="shared" si="9"/>
        <v>-3.2258557427764432</v>
      </c>
      <c r="R23" s="38">
        <f t="shared" si="10"/>
        <v>-1.4375192642862551</v>
      </c>
      <c r="S23" s="38">
        <f t="shared" si="11"/>
        <v>-2.384392923650255</v>
      </c>
      <c r="T23" s="38">
        <f t="shared" si="12"/>
        <v>-0.44207069515265651</v>
      </c>
      <c r="U23" s="26">
        <f t="shared" si="13"/>
        <v>-0.44059998679409507</v>
      </c>
      <c r="W23" s="38">
        <f t="shared" si="14"/>
        <v>-1.9609809139025547</v>
      </c>
      <c r="X23" s="38">
        <f t="shared" si="15"/>
        <v>-3.2258557427764432</v>
      </c>
      <c r="Y23" s="38">
        <f t="shared" si="16"/>
        <v>-1.4375192642862551</v>
      </c>
      <c r="Z23" s="38">
        <f t="shared" si="17"/>
        <v>-2.384392923650255</v>
      </c>
      <c r="AA23" s="25">
        <f t="shared" si="18"/>
        <v>-0.44059998679409507</v>
      </c>
      <c r="AC23" s="38">
        <f t="shared" si="19"/>
        <v>-1.9609809139025547</v>
      </c>
      <c r="AD23" s="38">
        <f t="shared" si="20"/>
        <v>-3.2258557427764432</v>
      </c>
      <c r="AE23" s="38">
        <f t="shared" si="21"/>
        <v>-0.44207069515265651</v>
      </c>
      <c r="AF23" s="25">
        <f t="shared" si="22"/>
        <v>-0.44059998679409507</v>
      </c>
      <c r="AH23" s="19">
        <f t="shared" si="28"/>
        <v>-1.0224295295510553</v>
      </c>
      <c r="AI23" s="10"/>
      <c r="AJ23" s="24">
        <f t="shared" si="30"/>
        <v>6.6640603625178354</v>
      </c>
      <c r="AK23" s="25">
        <f t="shared" si="25"/>
        <v>1.012349502360121</v>
      </c>
      <c r="AL23" s="6">
        <f t="shared" si="26"/>
        <v>1.0248515149287847</v>
      </c>
      <c r="AM23" s="24">
        <f t="shared" si="27"/>
        <v>0.58182954275696019</v>
      </c>
      <c r="AN23" s="26">
        <f t="shared" si="29"/>
        <v>7.0945803221209962</v>
      </c>
    </row>
    <row r="24" spans="1:40">
      <c r="A24" s="12">
        <v>7.9548753664111285</v>
      </c>
      <c r="B24" s="5">
        <v>23</v>
      </c>
      <c r="C24" s="5">
        <f t="shared" si="0"/>
        <v>529</v>
      </c>
      <c r="D24" s="5">
        <f t="shared" si="1"/>
        <v>12167</v>
      </c>
      <c r="E24" s="5">
        <f t="shared" si="2"/>
        <v>279841</v>
      </c>
      <c r="F24" s="5">
        <f t="shared" si="3"/>
        <v>6436343</v>
      </c>
      <c r="G24" s="6">
        <f t="shared" si="4"/>
        <v>148035889</v>
      </c>
      <c r="I24" s="24">
        <f t="shared" si="5"/>
        <v>8.396946061563785</v>
      </c>
      <c r="J24" s="25">
        <f t="shared" si="6"/>
        <v>-0.44207069515265651</v>
      </c>
      <c r="K24" s="26">
        <f t="shared" si="7"/>
        <v>0.19542649951275295</v>
      </c>
      <c r="O24" s="40">
        <f t="shared" si="23"/>
        <v>0.26891494372659785</v>
      </c>
      <c r="P24" s="38">
        <f t="shared" si="8"/>
        <v>-1.355881289036958</v>
      </c>
      <c r="Q24" s="38">
        <f t="shared" si="9"/>
        <v>-1.9609809139025547</v>
      </c>
      <c r="R24" s="38">
        <f t="shared" si="10"/>
        <v>-3.2258557427764432</v>
      </c>
      <c r="S24" s="38">
        <f t="shared" si="11"/>
        <v>-1.4375192642862551</v>
      </c>
      <c r="T24" s="38">
        <f t="shared" si="12"/>
        <v>-2.384392923650255</v>
      </c>
      <c r="U24" s="26">
        <f t="shared" si="13"/>
        <v>-0.44207069515265651</v>
      </c>
      <c r="W24" s="38">
        <f t="shared" si="14"/>
        <v>-1.355881289036958</v>
      </c>
      <c r="X24" s="38">
        <f t="shared" si="15"/>
        <v>-1.9609809139025547</v>
      </c>
      <c r="Y24" s="38">
        <f t="shared" si="16"/>
        <v>-3.2258557427764432</v>
      </c>
      <c r="Z24" s="38">
        <f t="shared" si="17"/>
        <v>-1.4375192642862551</v>
      </c>
      <c r="AA24" s="25">
        <f t="shared" si="18"/>
        <v>-0.44207069515265651</v>
      </c>
      <c r="AC24" s="38">
        <f t="shared" si="19"/>
        <v>-1.355881289036958</v>
      </c>
      <c r="AD24" s="38">
        <f t="shared" si="20"/>
        <v>-1.9609809139025547</v>
      </c>
      <c r="AE24" s="38">
        <f t="shared" si="21"/>
        <v>-2.384392923650255</v>
      </c>
      <c r="AF24" s="25">
        <f t="shared" si="22"/>
        <v>-0.44207069515265651</v>
      </c>
      <c r="AH24" s="19">
        <f t="shared" si="28"/>
        <v>-0.72150153783071103</v>
      </c>
      <c r="AI24" s="10"/>
      <c r="AJ24" s="24">
        <f t="shared" si="30"/>
        <v>7.605252822953215</v>
      </c>
      <c r="AK24" s="25">
        <f t="shared" si="25"/>
        <v>0.34962254345791344</v>
      </c>
      <c r="AL24" s="6">
        <f t="shared" si="26"/>
        <v>0.12223592289398057</v>
      </c>
      <c r="AM24" s="24">
        <f t="shared" si="27"/>
        <v>0.27943084267805451</v>
      </c>
      <c r="AN24" s="26">
        <f t="shared" si="29"/>
        <v>7.6754445237330735</v>
      </c>
    </row>
    <row r="25" spans="1:40">
      <c r="A25" s="12">
        <v>6.2845659236884952</v>
      </c>
      <c r="B25" s="5">
        <v>24</v>
      </c>
      <c r="C25" s="5">
        <f t="shared" si="0"/>
        <v>576</v>
      </c>
      <c r="D25" s="5">
        <f t="shared" si="1"/>
        <v>13824</v>
      </c>
      <c r="E25" s="5">
        <f t="shared" si="2"/>
        <v>331776</v>
      </c>
      <c r="F25" s="5">
        <f t="shared" si="3"/>
        <v>7962624</v>
      </c>
      <c r="G25" s="6">
        <f t="shared" si="4"/>
        <v>191102976</v>
      </c>
      <c r="I25" s="24">
        <f t="shared" si="5"/>
        <v>8.6689588473387502</v>
      </c>
      <c r="J25" s="25">
        <f t="shared" si="6"/>
        <v>-2.384392923650255</v>
      </c>
      <c r="K25" s="26">
        <f t="shared" si="7"/>
        <v>5.6853296143534111</v>
      </c>
      <c r="O25" s="40">
        <f t="shared" si="23"/>
        <v>-1.0739274842695021</v>
      </c>
      <c r="P25" s="38">
        <f t="shared" si="8"/>
        <v>0.26891494372659785</v>
      </c>
      <c r="Q25" s="38">
        <f t="shared" si="9"/>
        <v>-1.355881289036958</v>
      </c>
      <c r="R25" s="38">
        <f t="shared" si="10"/>
        <v>-1.9609809139025547</v>
      </c>
      <c r="S25" s="38">
        <f t="shared" si="11"/>
        <v>-3.2258557427764432</v>
      </c>
      <c r="T25" s="38">
        <f t="shared" si="12"/>
        <v>-1.4375192642862551</v>
      </c>
      <c r="U25" s="26">
        <f t="shared" si="13"/>
        <v>-2.384392923650255</v>
      </c>
      <c r="W25" s="38">
        <f t="shared" si="14"/>
        <v>0.26891494372659785</v>
      </c>
      <c r="X25" s="38">
        <f t="shared" si="15"/>
        <v>-1.355881289036958</v>
      </c>
      <c r="Y25" s="38">
        <f t="shared" si="16"/>
        <v>-1.9609809139025547</v>
      </c>
      <c r="Z25" s="38">
        <f t="shared" si="17"/>
        <v>-3.2258557427764432</v>
      </c>
      <c r="AA25" s="25">
        <f t="shared" si="18"/>
        <v>-2.384392923650255</v>
      </c>
      <c r="AC25" s="38">
        <f t="shared" si="19"/>
        <v>0.26891494372659785</v>
      </c>
      <c r="AD25" s="38">
        <f t="shared" si="20"/>
        <v>-1.355881289036958</v>
      </c>
      <c r="AE25" s="38">
        <f t="shared" si="21"/>
        <v>-1.4375192642862551</v>
      </c>
      <c r="AF25" s="25">
        <f t="shared" si="22"/>
        <v>-2.384392923650255</v>
      </c>
      <c r="AH25" s="19">
        <f t="shared" si="28"/>
        <v>-1.3687292067321737</v>
      </c>
      <c r="AI25" s="10"/>
      <c r="AJ25" s="24">
        <f t="shared" si="30"/>
        <v>8.6754281011221988</v>
      </c>
      <c r="AK25" s="25">
        <f t="shared" si="25"/>
        <v>-2.3908621774337036</v>
      </c>
      <c r="AL25" s="6">
        <f t="shared" si="26"/>
        <v>5.7162219514830301</v>
      </c>
      <c r="AM25" s="24">
        <f t="shared" si="27"/>
        <v>-1.0156637169180813</v>
      </c>
      <c r="AN25" s="26">
        <f t="shared" si="29"/>
        <v>7.3002296406065765</v>
      </c>
    </row>
    <row r="26" spans="1:40">
      <c r="A26" s="12">
        <v>7.4955289447106974</v>
      </c>
      <c r="B26" s="5">
        <v>25</v>
      </c>
      <c r="C26" s="5">
        <f t="shared" si="0"/>
        <v>625</v>
      </c>
      <c r="D26" s="5">
        <f t="shared" si="1"/>
        <v>15625</v>
      </c>
      <c r="E26" s="5">
        <f t="shared" si="2"/>
        <v>390625</v>
      </c>
      <c r="F26" s="5">
        <f t="shared" si="3"/>
        <v>9765625</v>
      </c>
      <c r="G26" s="6">
        <f t="shared" si="4"/>
        <v>244140625</v>
      </c>
      <c r="I26" s="24">
        <f t="shared" si="5"/>
        <v>8.9330482089969525</v>
      </c>
      <c r="J26" s="25">
        <f t="shared" si="6"/>
        <v>-1.4375192642862551</v>
      </c>
      <c r="K26" s="26">
        <f t="shared" si="7"/>
        <v>2.0664616351940963</v>
      </c>
      <c r="O26" s="40">
        <f t="shared" si="23"/>
        <v>-0.42513843156455167</v>
      </c>
      <c r="P26" s="38">
        <f t="shared" si="8"/>
        <v>-1.0739274842695021</v>
      </c>
      <c r="Q26" s="38">
        <f t="shared" si="9"/>
        <v>0.26891494372659785</v>
      </c>
      <c r="R26" s="38">
        <f t="shared" si="10"/>
        <v>-1.355881289036958</v>
      </c>
      <c r="S26" s="38">
        <f t="shared" si="11"/>
        <v>-1.9609809139025547</v>
      </c>
      <c r="T26" s="38">
        <f t="shared" si="12"/>
        <v>-3.2258557427764432</v>
      </c>
      <c r="U26" s="26">
        <f t="shared" si="13"/>
        <v>-1.4375192642862551</v>
      </c>
      <c r="W26" s="38">
        <f t="shared" si="14"/>
        <v>-1.0739274842695021</v>
      </c>
      <c r="X26" s="38">
        <f t="shared" si="15"/>
        <v>0.26891494372659785</v>
      </c>
      <c r="Y26" s="38">
        <f t="shared" si="16"/>
        <v>-1.355881289036958</v>
      </c>
      <c r="Z26" s="38">
        <f t="shared" si="17"/>
        <v>-1.9609809139025547</v>
      </c>
      <c r="AA26" s="25">
        <f t="shared" si="18"/>
        <v>-1.4375192642862551</v>
      </c>
      <c r="AC26" s="38">
        <f t="shared" si="19"/>
        <v>-1.0739274842695021</v>
      </c>
      <c r="AD26" s="38">
        <f t="shared" si="20"/>
        <v>0.26891494372659785</v>
      </c>
      <c r="AE26" s="38">
        <f t="shared" si="21"/>
        <v>-3.2258557427764432</v>
      </c>
      <c r="AF26" s="25">
        <f t="shared" si="22"/>
        <v>-1.4375192642862551</v>
      </c>
      <c r="AH26" s="19">
        <f t="shared" si="28"/>
        <v>-1.2189248576844731</v>
      </c>
      <c r="AI26" s="10"/>
      <c r="AJ26" s="24">
        <f t="shared" si="30"/>
        <v>7.5754758498775709</v>
      </c>
      <c r="AK26" s="25">
        <f t="shared" si="25"/>
        <v>-7.9946905166873528E-2</v>
      </c>
      <c r="AL26" s="6">
        <f t="shared" si="26"/>
        <v>6.391507645761069E-3</v>
      </c>
      <c r="AM26" s="24">
        <f t="shared" si="27"/>
        <v>-0.21859440660178198</v>
      </c>
      <c r="AN26" s="26">
        <f t="shared" si="29"/>
        <v>7.7141233513124794</v>
      </c>
    </row>
    <row r="27" spans="1:40">
      <c r="A27" s="12">
        <v>5.9633584037619451</v>
      </c>
      <c r="B27" s="5">
        <v>26</v>
      </c>
      <c r="C27" s="5">
        <f t="shared" si="0"/>
        <v>676</v>
      </c>
      <c r="D27" s="5">
        <f t="shared" si="1"/>
        <v>17576</v>
      </c>
      <c r="E27" s="5">
        <f t="shared" si="2"/>
        <v>456976</v>
      </c>
      <c r="F27" s="5">
        <f t="shared" si="3"/>
        <v>11881376</v>
      </c>
      <c r="G27" s="6">
        <f t="shared" si="4"/>
        <v>308915776</v>
      </c>
      <c r="I27" s="24">
        <f t="shared" si="5"/>
        <v>9.1892141465383883</v>
      </c>
      <c r="J27" s="25">
        <f t="shared" si="6"/>
        <v>-3.2258557427764432</v>
      </c>
      <c r="K27" s="26">
        <f t="shared" si="7"/>
        <v>10.406145273203757</v>
      </c>
      <c r="O27" s="40">
        <f t="shared" si="23"/>
        <v>-0.26435296888893589</v>
      </c>
      <c r="P27" s="38">
        <f t="shared" si="8"/>
        <v>-0.42513843156455167</v>
      </c>
      <c r="Q27" s="38">
        <f t="shared" si="9"/>
        <v>-1.0739274842695021</v>
      </c>
      <c r="R27" s="38">
        <f t="shared" si="10"/>
        <v>0.26891494372659785</v>
      </c>
      <c r="S27" s="38">
        <f t="shared" si="11"/>
        <v>-1.355881289036958</v>
      </c>
      <c r="T27" s="38">
        <f t="shared" si="12"/>
        <v>-1.9609809139025547</v>
      </c>
      <c r="U27" s="26">
        <f t="shared" si="13"/>
        <v>-3.2258557427764432</v>
      </c>
      <c r="W27" s="38">
        <f t="shared" si="14"/>
        <v>-0.42513843156455167</v>
      </c>
      <c r="X27" s="38">
        <f t="shared" si="15"/>
        <v>-1.0739274842695021</v>
      </c>
      <c r="Y27" s="38">
        <f t="shared" si="16"/>
        <v>0.26891494372659785</v>
      </c>
      <c r="Z27" s="38">
        <f t="shared" si="17"/>
        <v>-1.355881289036958</v>
      </c>
      <c r="AA27" s="25">
        <f t="shared" si="18"/>
        <v>-3.2258557427764432</v>
      </c>
      <c r="AC27" s="38">
        <f t="shared" si="19"/>
        <v>-0.42513843156455167</v>
      </c>
      <c r="AD27" s="38">
        <f t="shared" si="20"/>
        <v>-1.0739274842695021</v>
      </c>
      <c r="AE27" s="38">
        <f t="shared" si="21"/>
        <v>-1.9609809139025547</v>
      </c>
      <c r="AF27" s="25">
        <f t="shared" si="22"/>
        <v>-3.2258557427764432</v>
      </c>
      <c r="AH27" s="19">
        <f t="shared" si="28"/>
        <v>-2.1659345867894113</v>
      </c>
      <c r="AI27" s="10"/>
      <c r="AJ27" s="24">
        <f t="shared" si="30"/>
        <v>7.6659692713719902</v>
      </c>
      <c r="AK27" s="25">
        <f t="shared" si="25"/>
        <v>-1.7026108676100451</v>
      </c>
      <c r="AL27" s="6">
        <f t="shared" si="26"/>
        <v>2.8988837665038307</v>
      </c>
      <c r="AM27" s="24">
        <f t="shared" si="27"/>
        <v>-1.0599211559870318</v>
      </c>
      <c r="AN27" s="26">
        <f t="shared" si="29"/>
        <v>7.0232795597489766</v>
      </c>
    </row>
    <row r="28" spans="1:40">
      <c r="A28" s="12">
        <v>7.4764757460605065</v>
      </c>
      <c r="B28" s="5">
        <v>27</v>
      </c>
      <c r="C28" s="5">
        <f t="shared" si="0"/>
        <v>729</v>
      </c>
      <c r="D28" s="5">
        <f t="shared" si="1"/>
        <v>19683</v>
      </c>
      <c r="E28" s="5">
        <f t="shared" si="2"/>
        <v>531441</v>
      </c>
      <c r="F28" s="5">
        <f t="shared" si="3"/>
        <v>14348907</v>
      </c>
      <c r="G28" s="6">
        <f t="shared" si="4"/>
        <v>387420489</v>
      </c>
      <c r="I28" s="24">
        <f t="shared" si="5"/>
        <v>9.4374566599630612</v>
      </c>
      <c r="J28" s="25">
        <f t="shared" si="6"/>
        <v>-1.9609809139025547</v>
      </c>
      <c r="K28" s="26">
        <f t="shared" si="7"/>
        <v>3.8454461446900985</v>
      </c>
      <c r="O28" s="40">
        <f t="shared" si="23"/>
        <v>-9.5644082096514538E-2</v>
      </c>
      <c r="P28" s="38">
        <f t="shared" si="8"/>
        <v>-0.26435296888893589</v>
      </c>
      <c r="Q28" s="38">
        <f t="shared" si="9"/>
        <v>-0.42513843156455167</v>
      </c>
      <c r="R28" s="38">
        <f t="shared" si="10"/>
        <v>-1.0739274842695021</v>
      </c>
      <c r="S28" s="38">
        <f t="shared" si="11"/>
        <v>0.26891494372659785</v>
      </c>
      <c r="T28" s="38">
        <f t="shared" si="12"/>
        <v>-1.355881289036958</v>
      </c>
      <c r="U28" s="26">
        <f t="shared" si="13"/>
        <v>-1.9609809139025547</v>
      </c>
      <c r="W28" s="38">
        <f t="shared" si="14"/>
        <v>-0.26435296888893589</v>
      </c>
      <c r="X28" s="38">
        <f t="shared" si="15"/>
        <v>-0.42513843156455167</v>
      </c>
      <c r="Y28" s="38">
        <f t="shared" si="16"/>
        <v>-1.0739274842695021</v>
      </c>
      <c r="Z28" s="38">
        <f t="shared" si="17"/>
        <v>0.26891494372659785</v>
      </c>
      <c r="AA28" s="25">
        <f t="shared" si="18"/>
        <v>-1.9609809139025547</v>
      </c>
      <c r="AC28" s="38">
        <f t="shared" si="19"/>
        <v>-0.26435296888893589</v>
      </c>
      <c r="AD28" s="38">
        <f t="shared" si="20"/>
        <v>-0.42513843156455167</v>
      </c>
      <c r="AE28" s="38">
        <f t="shared" si="21"/>
        <v>-1.355881289036958</v>
      </c>
      <c r="AF28" s="25">
        <f t="shared" si="22"/>
        <v>-1.9609809139025547</v>
      </c>
      <c r="AH28" s="19">
        <f t="shared" si="28"/>
        <v>-2.1041610459021127</v>
      </c>
      <c r="AI28" s="10"/>
      <c r="AJ28" s="24">
        <f t="shared" si="30"/>
        <v>7.7019904893925117</v>
      </c>
      <c r="AK28" s="25">
        <f t="shared" si="25"/>
        <v>-0.22551474333200527</v>
      </c>
      <c r="AL28" s="6">
        <f t="shared" si="26"/>
        <v>5.0856899460100219E-2</v>
      </c>
      <c r="AM28" s="24">
        <f t="shared" si="27"/>
        <v>0.14318013199955804</v>
      </c>
      <c r="AN28" s="26">
        <f t="shared" si="29"/>
        <v>7.3332956140609484</v>
      </c>
    </row>
    <row r="29" spans="1:40">
      <c r="A29" s="12">
        <v>8.3218944602340077</v>
      </c>
      <c r="B29" s="5">
        <v>28</v>
      </c>
      <c r="C29" s="5">
        <f t="shared" si="0"/>
        <v>784</v>
      </c>
      <c r="D29" s="5">
        <f t="shared" si="1"/>
        <v>21952</v>
      </c>
      <c r="E29" s="5">
        <f t="shared" si="2"/>
        <v>614656</v>
      </c>
      <c r="F29" s="5">
        <f t="shared" si="3"/>
        <v>17210368</v>
      </c>
      <c r="G29" s="6">
        <f t="shared" si="4"/>
        <v>481890304</v>
      </c>
      <c r="I29" s="24">
        <f t="shared" si="5"/>
        <v>9.6777757492709657</v>
      </c>
      <c r="J29" s="25">
        <f t="shared" si="6"/>
        <v>-1.355881289036958</v>
      </c>
      <c r="K29" s="26">
        <f t="shared" si="7"/>
        <v>1.8384140699605229</v>
      </c>
      <c r="O29" s="40">
        <f t="shared" si="23"/>
        <v>-1.3532983786663291</v>
      </c>
      <c r="P29" s="38">
        <f t="shared" si="8"/>
        <v>-9.5644082096514538E-2</v>
      </c>
      <c r="Q29" s="38">
        <f t="shared" si="9"/>
        <v>-0.26435296888893589</v>
      </c>
      <c r="R29" s="38">
        <f t="shared" si="10"/>
        <v>-0.42513843156455167</v>
      </c>
      <c r="S29" s="38">
        <f t="shared" si="11"/>
        <v>-1.0739274842695021</v>
      </c>
      <c r="T29" s="38">
        <f t="shared" si="12"/>
        <v>0.26891494372659785</v>
      </c>
      <c r="U29" s="26">
        <f t="shared" si="13"/>
        <v>-1.355881289036958</v>
      </c>
      <c r="W29" s="38">
        <f t="shared" si="14"/>
        <v>-9.5644082096514538E-2</v>
      </c>
      <c r="X29" s="38">
        <f t="shared" si="15"/>
        <v>-0.26435296888893589</v>
      </c>
      <c r="Y29" s="38">
        <f t="shared" si="16"/>
        <v>-0.42513843156455167</v>
      </c>
      <c r="Z29" s="38">
        <f t="shared" si="17"/>
        <v>-1.0739274842695021</v>
      </c>
      <c r="AA29" s="25">
        <f t="shared" si="18"/>
        <v>-1.355881289036958</v>
      </c>
      <c r="AC29" s="38">
        <f t="shared" si="19"/>
        <v>-9.5644082096514538E-2</v>
      </c>
      <c r="AD29" s="38">
        <f t="shared" si="20"/>
        <v>-0.26435296888893589</v>
      </c>
      <c r="AE29" s="38">
        <f t="shared" si="21"/>
        <v>0.26891494372659785</v>
      </c>
      <c r="AF29" s="25">
        <f t="shared" si="22"/>
        <v>-1.355881289036958</v>
      </c>
      <c r="AH29" s="19">
        <f t="shared" si="28"/>
        <v>-0.89988226463522569</v>
      </c>
      <c r="AI29" s="10"/>
      <c r="AJ29" s="24">
        <f t="shared" si="30"/>
        <v>7.7940647116271062</v>
      </c>
      <c r="AK29" s="25">
        <f t="shared" si="25"/>
        <v>0.52782974860690146</v>
      </c>
      <c r="AL29" s="6">
        <f t="shared" si="26"/>
        <v>0.27860424351442481</v>
      </c>
      <c r="AM29" s="24">
        <f t="shared" si="27"/>
        <v>-0.45599902440173234</v>
      </c>
      <c r="AN29" s="26">
        <f t="shared" si="29"/>
        <v>8.7778934846357402</v>
      </c>
    </row>
    <row r="30" spans="1:40">
      <c r="A30" s="12">
        <v>10.179086358188703</v>
      </c>
      <c r="B30" s="5">
        <v>29</v>
      </c>
      <c r="C30" s="5">
        <f t="shared" si="0"/>
        <v>841</v>
      </c>
      <c r="D30" s="5">
        <f t="shared" si="1"/>
        <v>24389</v>
      </c>
      <c r="E30" s="5">
        <f t="shared" si="2"/>
        <v>707281</v>
      </c>
      <c r="F30" s="5">
        <f t="shared" si="3"/>
        <v>20511149</v>
      </c>
      <c r="G30" s="6">
        <f t="shared" si="4"/>
        <v>594823321</v>
      </c>
      <c r="I30" s="24">
        <f t="shared" si="5"/>
        <v>9.9101714144621056</v>
      </c>
      <c r="J30" s="25">
        <f t="shared" si="6"/>
        <v>0.26891494372659785</v>
      </c>
      <c r="K30" s="26">
        <f t="shared" si="7"/>
        <v>7.2315246959479287E-2</v>
      </c>
      <c r="O30" s="40">
        <f t="shared" si="23"/>
        <v>0.26554396383862233</v>
      </c>
      <c r="P30" s="38">
        <f t="shared" si="8"/>
        <v>-1.3532983786663291</v>
      </c>
      <c r="Q30" s="38">
        <f t="shared" si="9"/>
        <v>-9.5644082096514538E-2</v>
      </c>
      <c r="R30" s="38">
        <f t="shared" si="10"/>
        <v>-0.26435296888893589</v>
      </c>
      <c r="S30" s="38">
        <f t="shared" si="11"/>
        <v>-0.42513843156455167</v>
      </c>
      <c r="T30" s="38">
        <f t="shared" si="12"/>
        <v>-1.0739274842695021</v>
      </c>
      <c r="U30" s="26">
        <f t="shared" si="13"/>
        <v>0.26891494372659785</v>
      </c>
      <c r="W30" s="38">
        <f t="shared" si="14"/>
        <v>-1.3532983786663291</v>
      </c>
      <c r="X30" s="38">
        <f t="shared" si="15"/>
        <v>-9.5644082096514538E-2</v>
      </c>
      <c r="Y30" s="38">
        <f t="shared" si="16"/>
        <v>-0.26435296888893589</v>
      </c>
      <c r="Z30" s="38">
        <f t="shared" si="17"/>
        <v>-0.42513843156455167</v>
      </c>
      <c r="AA30" s="25">
        <f t="shared" si="18"/>
        <v>0.26891494372659785</v>
      </c>
      <c r="AC30" s="38">
        <f t="shared" si="19"/>
        <v>-1.3532983786663291</v>
      </c>
      <c r="AD30" s="38">
        <f t="shared" si="20"/>
        <v>-9.5644082096514538E-2</v>
      </c>
      <c r="AE30" s="38">
        <f t="shared" si="21"/>
        <v>-1.0739274842695021</v>
      </c>
      <c r="AF30" s="25">
        <f t="shared" si="22"/>
        <v>0.26891494372659785</v>
      </c>
      <c r="AH30" s="19">
        <f t="shared" si="28"/>
        <v>-1.1270857281490188E-2</v>
      </c>
      <c r="AI30" s="10"/>
      <c r="AJ30" s="24">
        <f t="shared" si="30"/>
        <v>9.1966377881968491</v>
      </c>
      <c r="AK30" s="25">
        <f t="shared" si="25"/>
        <v>0.98244856999185437</v>
      </c>
      <c r="AL30" s="6">
        <f t="shared" si="26"/>
        <v>0.96520519267903959</v>
      </c>
      <c r="AM30" s="24">
        <f t="shared" si="27"/>
        <v>0.28018580100808804</v>
      </c>
      <c r="AN30" s="26">
        <f t="shared" si="29"/>
        <v>9.8989005571806157</v>
      </c>
    </row>
    <row r="31" spans="1:40">
      <c r="A31" s="12">
        <v>9.0607161712669786</v>
      </c>
      <c r="B31" s="5">
        <v>30</v>
      </c>
      <c r="C31" s="5">
        <f t="shared" si="0"/>
        <v>900</v>
      </c>
      <c r="D31" s="5">
        <f t="shared" si="1"/>
        <v>27000</v>
      </c>
      <c r="E31" s="5">
        <f t="shared" si="2"/>
        <v>810000</v>
      </c>
      <c r="F31" s="5">
        <f t="shared" si="3"/>
        <v>24300000</v>
      </c>
      <c r="G31" s="6">
        <f t="shared" si="4"/>
        <v>729000000</v>
      </c>
      <c r="I31" s="24">
        <f t="shared" si="5"/>
        <v>10.134643655536481</v>
      </c>
      <c r="J31" s="25">
        <f t="shared" si="6"/>
        <v>-1.0739274842695021</v>
      </c>
      <c r="K31" s="26">
        <f t="shared" si="7"/>
        <v>1.1533202414694217</v>
      </c>
      <c r="O31" s="40">
        <f t="shared" si="23"/>
        <v>0.4580231229813414</v>
      </c>
      <c r="P31" s="38">
        <f t="shared" si="8"/>
        <v>0.26554396383862233</v>
      </c>
      <c r="Q31" s="38">
        <f t="shared" si="9"/>
        <v>-1.3532983786663291</v>
      </c>
      <c r="R31" s="38">
        <f t="shared" si="10"/>
        <v>-9.5644082096514538E-2</v>
      </c>
      <c r="S31" s="38">
        <f t="shared" si="11"/>
        <v>-0.26435296888893589</v>
      </c>
      <c r="T31" s="38">
        <f t="shared" si="12"/>
        <v>-0.42513843156455167</v>
      </c>
      <c r="U31" s="26">
        <f t="shared" si="13"/>
        <v>-1.0739274842695021</v>
      </c>
      <c r="W31" s="38">
        <f t="shared" si="14"/>
        <v>0.26554396383862233</v>
      </c>
      <c r="X31" s="38">
        <f t="shared" si="15"/>
        <v>-1.3532983786663291</v>
      </c>
      <c r="Y31" s="38">
        <f t="shared" si="16"/>
        <v>-9.5644082096514538E-2</v>
      </c>
      <c r="Z31" s="38">
        <f t="shared" si="17"/>
        <v>-0.26435296888893589</v>
      </c>
      <c r="AA31" s="25">
        <f t="shared" si="18"/>
        <v>-1.0739274842695021</v>
      </c>
      <c r="AC31" s="38">
        <f t="shared" si="19"/>
        <v>0.26554396383862233</v>
      </c>
      <c r="AD31" s="38">
        <f t="shared" si="20"/>
        <v>-1.3532983786663291</v>
      </c>
      <c r="AE31" s="38">
        <f t="shared" si="21"/>
        <v>-0.42513843156455167</v>
      </c>
      <c r="AF31" s="25">
        <f t="shared" si="22"/>
        <v>-1.0739274842695021</v>
      </c>
      <c r="AH31" s="19">
        <f t="shared" si="28"/>
        <v>0.2233778545170822</v>
      </c>
      <c r="AI31" s="10"/>
      <c r="AJ31" s="24">
        <f t="shared" si="30"/>
        <v>10.2392975467141</v>
      </c>
      <c r="AK31" s="25">
        <f t="shared" si="25"/>
        <v>-1.1785813754471217</v>
      </c>
      <c r="AL31" s="6">
        <f t="shared" si="26"/>
        <v>1.3890540585508293</v>
      </c>
      <c r="AM31" s="24">
        <f t="shared" si="27"/>
        <v>-1.2973053387865843</v>
      </c>
      <c r="AN31" s="26">
        <f t="shared" si="29"/>
        <v>10.358021510053563</v>
      </c>
    </row>
    <row r="32" spans="1:40">
      <c r="A32" s="12">
        <v>9.9260540409295395</v>
      </c>
      <c r="B32" s="5">
        <v>31</v>
      </c>
      <c r="C32" s="5">
        <f t="shared" si="0"/>
        <v>961</v>
      </c>
      <c r="D32" s="5">
        <f t="shared" si="1"/>
        <v>29791</v>
      </c>
      <c r="E32" s="5">
        <f t="shared" si="2"/>
        <v>923521</v>
      </c>
      <c r="F32" s="5">
        <f t="shared" si="3"/>
        <v>28629151</v>
      </c>
      <c r="G32" s="6">
        <f t="shared" si="4"/>
        <v>887503681</v>
      </c>
      <c r="I32" s="24">
        <f t="shared" si="5"/>
        <v>10.351192472494091</v>
      </c>
      <c r="J32" s="25">
        <f t="shared" si="6"/>
        <v>-0.42513843156455167</v>
      </c>
      <c r="K32" s="26">
        <f t="shared" si="7"/>
        <v>0.18074268599316698</v>
      </c>
      <c r="O32" s="40">
        <f t="shared" si="23"/>
        <v>1.5159065322123233</v>
      </c>
      <c r="P32" s="38">
        <f t="shared" si="8"/>
        <v>0.4580231229813414</v>
      </c>
      <c r="Q32" s="38">
        <f t="shared" si="9"/>
        <v>0.26554396383862233</v>
      </c>
      <c r="R32" s="38">
        <f t="shared" si="10"/>
        <v>-1.3532983786663291</v>
      </c>
      <c r="S32" s="38">
        <f t="shared" si="11"/>
        <v>-9.5644082096514538E-2</v>
      </c>
      <c r="T32" s="38">
        <f t="shared" si="12"/>
        <v>-0.26435296888893589</v>
      </c>
      <c r="U32" s="26">
        <f t="shared" si="13"/>
        <v>-0.42513843156455167</v>
      </c>
      <c r="W32" s="38">
        <f t="shared" si="14"/>
        <v>0.4580231229813414</v>
      </c>
      <c r="X32" s="38">
        <f t="shared" si="15"/>
        <v>0.26554396383862233</v>
      </c>
      <c r="Y32" s="38">
        <f t="shared" si="16"/>
        <v>-1.3532983786663291</v>
      </c>
      <c r="Z32" s="38">
        <f t="shared" si="17"/>
        <v>-9.5644082096514538E-2</v>
      </c>
      <c r="AA32" s="25">
        <f t="shared" si="18"/>
        <v>-0.42513843156455167</v>
      </c>
      <c r="AC32" s="38">
        <f t="shared" si="19"/>
        <v>0.4580231229813414</v>
      </c>
      <c r="AD32" s="38">
        <f t="shared" si="20"/>
        <v>0.26554396383862233</v>
      </c>
      <c r="AE32" s="38">
        <f t="shared" si="21"/>
        <v>-0.26435296888893589</v>
      </c>
      <c r="AF32" s="25">
        <f t="shared" si="22"/>
        <v>-0.42513843156455167</v>
      </c>
      <c r="AH32" s="19">
        <f t="shared" si="28"/>
        <v>-0.17468732658107777</v>
      </c>
      <c r="AI32" s="10"/>
      <c r="AJ32" s="24">
        <f t="shared" si="30"/>
        <v>10.160449601388569</v>
      </c>
      <c r="AK32" s="25">
        <f t="shared" si="25"/>
        <v>-0.23439556045902954</v>
      </c>
      <c r="AL32" s="6">
        <f t="shared" si="26"/>
        <v>5.4941278762902571E-2</v>
      </c>
      <c r="AM32" s="24">
        <f t="shared" si="27"/>
        <v>-0.25045110498347389</v>
      </c>
      <c r="AN32" s="26">
        <f t="shared" si="29"/>
        <v>10.176505145913014</v>
      </c>
    </row>
    <row r="33" spans="1:40">
      <c r="A33" s="12">
        <v>10.295464896445999</v>
      </c>
      <c r="B33" s="5">
        <v>32</v>
      </c>
      <c r="C33" s="5">
        <f t="shared" si="0"/>
        <v>1024</v>
      </c>
      <c r="D33" s="5">
        <f t="shared" si="1"/>
        <v>32768</v>
      </c>
      <c r="E33" s="5">
        <f t="shared" si="2"/>
        <v>1048576</v>
      </c>
      <c r="F33" s="5">
        <f t="shared" si="3"/>
        <v>33554432</v>
      </c>
      <c r="G33" s="6">
        <f t="shared" si="4"/>
        <v>1073741824</v>
      </c>
      <c r="I33" s="24">
        <f t="shared" si="5"/>
        <v>10.559817865334935</v>
      </c>
      <c r="J33" s="25">
        <f t="shared" si="6"/>
        <v>-0.26435296888893589</v>
      </c>
      <c r="K33" s="26">
        <f t="shared" si="7"/>
        <v>6.9882492160394702E-2</v>
      </c>
      <c r="O33" s="40">
        <f t="shared" si="23"/>
        <v>0.86675171361706838</v>
      </c>
      <c r="P33" s="38">
        <f t="shared" si="8"/>
        <v>1.5159065322123233</v>
      </c>
      <c r="Q33" s="38">
        <f t="shared" si="9"/>
        <v>0.4580231229813414</v>
      </c>
      <c r="R33" s="38">
        <f t="shared" si="10"/>
        <v>0.26554396383862233</v>
      </c>
      <c r="S33" s="38">
        <f t="shared" si="11"/>
        <v>-1.3532983786663291</v>
      </c>
      <c r="T33" s="38">
        <f t="shared" si="12"/>
        <v>-9.5644082096514538E-2</v>
      </c>
      <c r="U33" s="26">
        <f t="shared" si="13"/>
        <v>-0.26435296888893589</v>
      </c>
      <c r="W33" s="38">
        <f t="shared" si="14"/>
        <v>1.5159065322123233</v>
      </c>
      <c r="X33" s="38">
        <f t="shared" si="15"/>
        <v>0.4580231229813414</v>
      </c>
      <c r="Y33" s="38">
        <f t="shared" si="16"/>
        <v>0.26554396383862233</v>
      </c>
      <c r="Z33" s="38">
        <f t="shared" si="17"/>
        <v>-1.3532983786663291</v>
      </c>
      <c r="AA33" s="25">
        <f t="shared" si="18"/>
        <v>-0.26435296888893589</v>
      </c>
      <c r="AC33" s="38">
        <f t="shared" si="19"/>
        <v>1.5159065322123233</v>
      </c>
      <c r="AD33" s="38">
        <f t="shared" si="20"/>
        <v>0.4580231229813414</v>
      </c>
      <c r="AE33" s="38">
        <f t="shared" si="21"/>
        <v>-9.5644082096514538E-2</v>
      </c>
      <c r="AF33" s="25">
        <f t="shared" si="22"/>
        <v>-0.26435296888893589</v>
      </c>
      <c r="AH33" s="19">
        <f t="shared" si="28"/>
        <v>6.8352572370785625E-3</v>
      </c>
      <c r="AI33" s="10"/>
      <c r="AJ33" s="24">
        <f t="shared" si="30"/>
        <v>9.8913023536802243</v>
      </c>
      <c r="AK33" s="25">
        <f t="shared" si="25"/>
        <v>0.4041625427657749</v>
      </c>
      <c r="AL33" s="6">
        <f t="shared" si="26"/>
        <v>0.16334736097489683</v>
      </c>
      <c r="AM33" s="24">
        <f t="shared" si="27"/>
        <v>-0.27118822612601445</v>
      </c>
      <c r="AN33" s="26">
        <f t="shared" si="29"/>
        <v>10.566653122572014</v>
      </c>
    </row>
    <row r="34" spans="1:40">
      <c r="A34" s="12">
        <v>10.6648757519625</v>
      </c>
      <c r="B34" s="5">
        <v>33</v>
      </c>
      <c r="C34" s="5">
        <f t="shared" si="0"/>
        <v>1089</v>
      </c>
      <c r="D34" s="5">
        <f t="shared" si="1"/>
        <v>35937</v>
      </c>
      <c r="E34" s="5">
        <f t="shared" si="2"/>
        <v>1185921</v>
      </c>
      <c r="F34" s="5">
        <f t="shared" si="3"/>
        <v>39135393</v>
      </c>
      <c r="G34" s="6">
        <f t="shared" si="4"/>
        <v>1291467969</v>
      </c>
      <c r="I34" s="24">
        <f t="shared" si="5"/>
        <v>10.760519834059014</v>
      </c>
      <c r="J34" s="25">
        <f t="shared" si="6"/>
        <v>-9.5644082096514538E-2</v>
      </c>
      <c r="K34" s="26">
        <f t="shared" si="7"/>
        <v>9.1477904400848135E-3</v>
      </c>
      <c r="O34" s="40">
        <f t="shared" si="23"/>
        <v>1.0830011451099804</v>
      </c>
      <c r="P34" s="38">
        <f t="shared" si="8"/>
        <v>0.86675171361706838</v>
      </c>
      <c r="Q34" s="38">
        <f t="shared" si="9"/>
        <v>1.5159065322123233</v>
      </c>
      <c r="R34" s="38">
        <f t="shared" si="10"/>
        <v>0.4580231229813414</v>
      </c>
      <c r="S34" s="38">
        <f t="shared" si="11"/>
        <v>0.26554396383862233</v>
      </c>
      <c r="T34" s="38">
        <f t="shared" si="12"/>
        <v>-1.3532983786663291</v>
      </c>
      <c r="U34" s="26">
        <f t="shared" si="13"/>
        <v>-9.5644082096514538E-2</v>
      </c>
      <c r="W34" s="38">
        <f t="shared" si="14"/>
        <v>0.86675171361706838</v>
      </c>
      <c r="X34" s="38">
        <f t="shared" si="15"/>
        <v>1.5159065322123233</v>
      </c>
      <c r="Y34" s="38">
        <f t="shared" si="16"/>
        <v>0.4580231229813414</v>
      </c>
      <c r="Z34" s="38">
        <f t="shared" si="17"/>
        <v>0.26554396383862233</v>
      </c>
      <c r="AA34" s="25">
        <f t="shared" si="18"/>
        <v>-9.5644082096514538E-2</v>
      </c>
      <c r="AC34" s="38">
        <f t="shared" si="19"/>
        <v>0.86675171361706838</v>
      </c>
      <c r="AD34" s="38">
        <f t="shared" si="20"/>
        <v>1.5159065322123233</v>
      </c>
      <c r="AE34" s="38">
        <f t="shared" si="21"/>
        <v>-1.3532983786663291</v>
      </c>
      <c r="AF34" s="25">
        <f t="shared" si="22"/>
        <v>-9.5644082096514538E-2</v>
      </c>
      <c r="AH34" s="19">
        <f t="shared" si="28"/>
        <v>-0.2045429039133107</v>
      </c>
      <c r="AI34" s="10"/>
      <c r="AJ34" s="24">
        <f t="shared" si="30"/>
        <v>10.704914177202932</v>
      </c>
      <c r="AK34" s="25">
        <f t="shared" si="25"/>
        <v>-4.0038425240432218E-2</v>
      </c>
      <c r="AL34" s="6">
        <f t="shared" si="26"/>
        <v>1.6030754957336798E-3</v>
      </c>
      <c r="AM34" s="24">
        <f t="shared" si="27"/>
        <v>0.10889882181679617</v>
      </c>
      <c r="AN34" s="26">
        <f t="shared" si="29"/>
        <v>10.555976930145704</v>
      </c>
    </row>
    <row r="35" spans="1:40" ht="15.75" thickBot="1">
      <c r="A35" s="12">
        <v>9.6</v>
      </c>
      <c r="B35" s="5">
        <v>34</v>
      </c>
      <c r="C35" s="5">
        <f t="shared" si="0"/>
        <v>1156</v>
      </c>
      <c r="D35" s="5">
        <f t="shared" si="1"/>
        <v>39304</v>
      </c>
      <c r="E35" s="5">
        <f t="shared" si="2"/>
        <v>1336336</v>
      </c>
      <c r="F35" s="5">
        <f t="shared" si="3"/>
        <v>45435424</v>
      </c>
      <c r="G35" s="6">
        <f t="shared" si="4"/>
        <v>1544804416</v>
      </c>
      <c r="I35" s="24">
        <f t="shared" si="5"/>
        <v>10.953298378666329</v>
      </c>
      <c r="J35" s="25">
        <f t="shared" si="6"/>
        <v>-1.3532983786663291</v>
      </c>
      <c r="K35" s="26">
        <f t="shared" si="7"/>
        <v>1.831416501700915</v>
      </c>
      <c r="O35" s="41">
        <f t="shared" si="23"/>
        <v>1.3071740007197619</v>
      </c>
      <c r="P35" s="39">
        <f t="shared" si="8"/>
        <v>1.0830011451099804</v>
      </c>
      <c r="Q35" s="39">
        <f t="shared" si="9"/>
        <v>0.86675171361706838</v>
      </c>
      <c r="R35" s="39">
        <f t="shared" si="10"/>
        <v>1.5159065322123233</v>
      </c>
      <c r="S35" s="39">
        <f t="shared" si="11"/>
        <v>0.4580231229813414</v>
      </c>
      <c r="T35" s="39">
        <f t="shared" si="12"/>
        <v>0.26554396383862233</v>
      </c>
      <c r="U35" s="29">
        <f t="shared" si="13"/>
        <v>-1.3532983786663291</v>
      </c>
      <c r="W35" s="38">
        <f t="shared" si="14"/>
        <v>1.0830011451099804</v>
      </c>
      <c r="X35" s="38">
        <f t="shared" si="15"/>
        <v>0.86675171361706838</v>
      </c>
      <c r="Y35" s="38">
        <f t="shared" si="16"/>
        <v>1.5159065322123233</v>
      </c>
      <c r="Z35" s="38">
        <f t="shared" si="17"/>
        <v>0.4580231229813414</v>
      </c>
      <c r="AA35" s="25">
        <f t="shared" si="18"/>
        <v>-1.3532983786663291</v>
      </c>
      <c r="AC35" s="38">
        <f t="shared" si="19"/>
        <v>1.0830011451099804</v>
      </c>
      <c r="AD35" s="38">
        <f t="shared" si="20"/>
        <v>0.86675171361706838</v>
      </c>
      <c r="AE35" s="38">
        <f t="shared" si="21"/>
        <v>0.26554396383862233</v>
      </c>
      <c r="AF35" s="25">
        <f t="shared" si="22"/>
        <v>-1.3532983786663291</v>
      </c>
      <c r="AH35" s="19">
        <f t="shared" si="28"/>
        <v>-0.53352926256355648</v>
      </c>
      <c r="AI35" s="10"/>
      <c r="AJ35" s="24">
        <f t="shared" si="30"/>
        <v>10.902459118576397</v>
      </c>
      <c r="AK35" s="25">
        <f t="shared" si="25"/>
        <v>-1.3024591185763974</v>
      </c>
      <c r="AL35" s="6">
        <f t="shared" si="26"/>
        <v>1.6963997555628061</v>
      </c>
      <c r="AM35" s="24">
        <f t="shared" si="27"/>
        <v>-0.81976911610277259</v>
      </c>
      <c r="AN35" s="26">
        <f t="shared" si="29"/>
        <v>10.419769116102772</v>
      </c>
    </row>
    <row r="36" spans="1:40">
      <c r="A36" s="12">
        <v>11.403697462995501</v>
      </c>
      <c r="B36" s="5">
        <v>35</v>
      </c>
      <c r="C36" s="5">
        <f t="shared" si="0"/>
        <v>1225</v>
      </c>
      <c r="D36" s="5">
        <f t="shared" si="1"/>
        <v>42875</v>
      </c>
      <c r="E36" s="5">
        <f t="shared" si="2"/>
        <v>1500625</v>
      </c>
      <c r="F36" s="5">
        <f t="shared" si="3"/>
        <v>52521875</v>
      </c>
      <c r="G36" s="6">
        <f t="shared" si="4"/>
        <v>1838265625</v>
      </c>
      <c r="I36" s="24">
        <f t="shared" si="5"/>
        <v>11.138153499156878</v>
      </c>
      <c r="J36" s="25">
        <f t="shared" si="6"/>
        <v>0.26554396383862233</v>
      </c>
      <c r="K36" s="26">
        <f t="shared" si="7"/>
        <v>7.0513596731127559E-2</v>
      </c>
      <c r="AH36" s="19">
        <f t="shared" si="28"/>
        <v>-0.23640118901962492</v>
      </c>
      <c r="AI36" s="10"/>
      <c r="AJ36" s="24">
        <f t="shared" si="30"/>
        <v>10.425337516881976</v>
      </c>
      <c r="AK36" s="25">
        <f t="shared" si="25"/>
        <v>0.97835994611352461</v>
      </c>
      <c r="AL36" s="6">
        <f t="shared" si="26"/>
        <v>0.95718818415925877</v>
      </c>
      <c r="AM36" s="24">
        <f t="shared" si="27"/>
        <v>0.50194515285824726</v>
      </c>
      <c r="AN36" s="26">
        <f t="shared" si="29"/>
        <v>10.901752310137253</v>
      </c>
    </row>
    <row r="37" spans="1:40">
      <c r="A37" s="12">
        <v>11.773108318512</v>
      </c>
      <c r="B37" s="5">
        <v>36</v>
      </c>
      <c r="C37" s="5">
        <f t="shared" si="0"/>
        <v>1296</v>
      </c>
      <c r="D37" s="5">
        <f t="shared" si="1"/>
        <v>46656</v>
      </c>
      <c r="E37" s="5">
        <f t="shared" si="2"/>
        <v>1679616</v>
      </c>
      <c r="F37" s="5">
        <f t="shared" si="3"/>
        <v>60466176</v>
      </c>
      <c r="G37" s="6">
        <f t="shared" si="4"/>
        <v>2176782336</v>
      </c>
      <c r="I37" s="24">
        <f t="shared" si="5"/>
        <v>11.315085195530658</v>
      </c>
      <c r="J37" s="25">
        <f t="shared" si="6"/>
        <v>0.4580231229813414</v>
      </c>
      <c r="K37" s="26">
        <f t="shared" si="7"/>
        <v>0.20978518118558098</v>
      </c>
      <c r="AH37" s="19">
        <f t="shared" si="28"/>
        <v>0.40150603804497598</v>
      </c>
      <c r="AI37" s="10"/>
      <c r="AJ37" s="24">
        <f t="shared" si="30"/>
        <v>11.00571486042597</v>
      </c>
      <c r="AK37" s="25">
        <f t="shared" si="25"/>
        <v>0.76739345808602977</v>
      </c>
      <c r="AL37" s="6">
        <f t="shared" si="26"/>
        <v>0.58889271951323507</v>
      </c>
      <c r="AM37" s="24">
        <f t="shared" si="27"/>
        <v>5.6517084936365425E-2</v>
      </c>
      <c r="AN37" s="26">
        <f t="shared" si="29"/>
        <v>11.716591233575635</v>
      </c>
    </row>
    <row r="38" spans="1:40">
      <c r="A38" s="12">
        <v>13</v>
      </c>
      <c r="B38" s="5">
        <v>37</v>
      </c>
      <c r="C38" s="5">
        <f t="shared" si="0"/>
        <v>1369</v>
      </c>
      <c r="D38" s="5">
        <f t="shared" si="1"/>
        <v>50653</v>
      </c>
      <c r="E38" s="5">
        <f t="shared" si="2"/>
        <v>1874161</v>
      </c>
      <c r="F38" s="5">
        <f t="shared" si="3"/>
        <v>69343957</v>
      </c>
      <c r="G38" s="6">
        <f t="shared" si="4"/>
        <v>2565726409</v>
      </c>
      <c r="I38" s="24">
        <f t="shared" si="5"/>
        <v>11.484093467787677</v>
      </c>
      <c r="J38" s="25">
        <f t="shared" si="6"/>
        <v>1.5159065322123233</v>
      </c>
      <c r="K38" s="26">
        <f t="shared" si="7"/>
        <v>2.2979726144039914</v>
      </c>
      <c r="W38" s="5"/>
      <c r="X38" s="5"/>
      <c r="Y38" s="5"/>
      <c r="Z38" s="5"/>
      <c r="AA38" s="5"/>
      <c r="AB38" s="5"/>
      <c r="AC38" s="5"/>
      <c r="AH38" s="19">
        <f t="shared" si="28"/>
        <v>1.0084654472322203</v>
      </c>
      <c r="AI38" s="10"/>
      <c r="AJ38" s="24">
        <f t="shared" si="30"/>
        <v>12.126755133578595</v>
      </c>
      <c r="AK38" s="25">
        <f t="shared" si="25"/>
        <v>0.87324486642140542</v>
      </c>
      <c r="AL38" s="6">
        <f t="shared" si="26"/>
        <v>0.76255659673133824</v>
      </c>
      <c r="AM38" s="24">
        <f t="shared" si="27"/>
        <v>0.50744108498010299</v>
      </c>
      <c r="AN38" s="26">
        <f t="shared" si="29"/>
        <v>12.492558915019897</v>
      </c>
    </row>
    <row r="39" spans="1:40" ht="15.75" thickBot="1">
      <c r="A39" s="12">
        <v>12.511930029545001</v>
      </c>
      <c r="B39" s="5">
        <v>38</v>
      </c>
      <c r="C39" s="5">
        <f t="shared" si="0"/>
        <v>1444</v>
      </c>
      <c r="D39" s="5">
        <f t="shared" si="1"/>
        <v>54872</v>
      </c>
      <c r="E39" s="5">
        <f t="shared" si="2"/>
        <v>2085136</v>
      </c>
      <c r="F39" s="5">
        <f t="shared" si="3"/>
        <v>79235168</v>
      </c>
      <c r="G39" s="6">
        <f t="shared" si="4"/>
        <v>3010936384</v>
      </c>
      <c r="I39" s="24">
        <f t="shared" si="5"/>
        <v>11.645178315927932</v>
      </c>
      <c r="J39" s="25">
        <f t="shared" si="6"/>
        <v>0.86675171361706838</v>
      </c>
      <c r="K39" s="26">
        <f t="shared" si="7"/>
        <v>0.75125853305812451</v>
      </c>
      <c r="P39" t="s">
        <v>34</v>
      </c>
      <c r="Q39" t="s">
        <v>33</v>
      </c>
      <c r="R39" t="s">
        <v>32</v>
      </c>
      <c r="S39" t="s">
        <v>31</v>
      </c>
      <c r="T39" t="s">
        <v>8</v>
      </c>
      <c r="U39" t="s">
        <v>9</v>
      </c>
      <c r="W39" s="5"/>
      <c r="X39" s="5"/>
      <c r="Y39" s="5"/>
      <c r="Z39" s="5"/>
      <c r="AA39" s="5"/>
      <c r="AB39" s="5"/>
      <c r="AC39" s="5"/>
      <c r="AH39" s="19">
        <f t="shared" si="28"/>
        <v>1.3046466916837292</v>
      </c>
      <c r="AI39" s="10"/>
      <c r="AJ39" s="24">
        <f t="shared" si="30"/>
        <v>12.573655795747145</v>
      </c>
      <c r="AK39" s="25">
        <f t="shared" si="25"/>
        <v>-6.1725766202144428E-2</v>
      </c>
      <c r="AL39" s="6">
        <f t="shared" si="26"/>
        <v>3.8100702132417954E-3</v>
      </c>
      <c r="AM39" s="24">
        <f t="shared" si="27"/>
        <v>-0.43789497806666078</v>
      </c>
      <c r="AN39" s="26">
        <f t="shared" si="29"/>
        <v>12.949825007611661</v>
      </c>
    </row>
    <row r="40" spans="1:40" ht="15.75" thickBot="1">
      <c r="A40" s="12">
        <v>12.8813408850614</v>
      </c>
      <c r="B40" s="5">
        <v>39</v>
      </c>
      <c r="C40" s="5">
        <f t="shared" si="0"/>
        <v>1521</v>
      </c>
      <c r="D40" s="5">
        <f t="shared" si="1"/>
        <v>59319</v>
      </c>
      <c r="E40" s="5">
        <f t="shared" si="2"/>
        <v>2313441</v>
      </c>
      <c r="F40" s="5">
        <f t="shared" si="3"/>
        <v>90224199</v>
      </c>
      <c r="G40" s="6">
        <f t="shared" si="4"/>
        <v>3518743761</v>
      </c>
      <c r="I40" s="24">
        <f t="shared" si="5"/>
        <v>11.79833973995142</v>
      </c>
      <c r="J40" s="25">
        <f t="shared" si="6"/>
        <v>1.0830011451099804</v>
      </c>
      <c r="K40" s="26">
        <f t="shared" si="7"/>
        <v>1.1728914803095287</v>
      </c>
      <c r="P40" s="16">
        <f t="array" ref="P40:U44">LINEST(O2:O35,P2:U35,0,1)</f>
        <v>-3.2564882505339537E-2</v>
      </c>
      <c r="Q40" s="17">
        <v>-0.24851189558246284</v>
      </c>
      <c r="R40" s="17">
        <v>5.0653408296435819E-3</v>
      </c>
      <c r="S40" s="17">
        <v>0.12034110173147004</v>
      </c>
      <c r="T40" s="17">
        <v>0.31502488801917272</v>
      </c>
      <c r="U40" s="18">
        <v>0.50505987474136338</v>
      </c>
      <c r="W40" s="46"/>
      <c r="X40" s="44" t="s">
        <v>34</v>
      </c>
      <c r="Y40" s="44" t="s">
        <v>33</v>
      </c>
      <c r="Z40" s="44" t="s">
        <v>8</v>
      </c>
      <c r="AA40" s="44" t="s">
        <v>9</v>
      </c>
      <c r="AB40" s="46"/>
      <c r="AC40" s="46"/>
      <c r="AD40" s="44" t="s">
        <v>8</v>
      </c>
      <c r="AE40" s="44" t="s">
        <v>9</v>
      </c>
      <c r="AH40" s="20">
        <f>$AA$49*AC35 + $Z$49*AD35 + $Y$49*AE35</f>
        <v>0.83603090874760477</v>
      </c>
      <c r="AI40" s="11"/>
      <c r="AJ40" s="24">
        <f t="shared" si="30"/>
        <v>12.701854869063192</v>
      </c>
      <c r="AK40" s="25">
        <f t="shared" si="25"/>
        <v>0.1794860159982079</v>
      </c>
      <c r="AL40" s="6">
        <f t="shared" si="26"/>
        <v>3.2215229938908942E-2</v>
      </c>
      <c r="AM40" s="24">
        <f t="shared" si="27"/>
        <v>0.24697023636237558</v>
      </c>
      <c r="AN40" s="26">
        <f t="shared" si="29"/>
        <v>12.634370648699024</v>
      </c>
    </row>
    <row r="41" spans="1:40" ht="15.75" thickBot="1">
      <c r="A41" s="13">
        <v>13.250751740577901</v>
      </c>
      <c r="B41" s="7">
        <v>40</v>
      </c>
      <c r="C41" s="7">
        <f t="shared" si="0"/>
        <v>1600</v>
      </c>
      <c r="D41" s="7">
        <f t="shared" si="1"/>
        <v>64000</v>
      </c>
      <c r="E41" s="7">
        <f t="shared" si="2"/>
        <v>2560000</v>
      </c>
      <c r="F41" s="7">
        <f t="shared" si="3"/>
        <v>102400000</v>
      </c>
      <c r="G41" s="8">
        <f t="shared" si="4"/>
        <v>4096000000</v>
      </c>
      <c r="I41" s="24">
        <f t="shared" si="5"/>
        <v>11.943577739858139</v>
      </c>
      <c r="J41" s="28">
        <f t="shared" si="6"/>
        <v>1.3071740007197619</v>
      </c>
      <c r="K41" s="29">
        <f t="shared" si="7"/>
        <v>1.708703868157708</v>
      </c>
      <c r="P41" s="19">
        <v>0.18134137763307903</v>
      </c>
      <c r="Q41" s="5">
        <v>0.19292674010774732</v>
      </c>
      <c r="R41" s="5">
        <v>0.20889204079376797</v>
      </c>
      <c r="S41" s="5">
        <v>0.2087680254450342</v>
      </c>
      <c r="T41" s="5">
        <v>0.2002298194400112</v>
      </c>
      <c r="U41" s="6">
        <v>0.18668740680147095</v>
      </c>
      <c r="W41" s="46"/>
      <c r="X41" s="47">
        <f t="array" ref="X41:AA45">LINEST(O2:O35,AC2:AF35,0,1)</f>
        <v>-1.8820848830944009E-2</v>
      </c>
      <c r="Y41" s="48">
        <v>-0.2088605351541121</v>
      </c>
      <c r="Z41" s="48">
        <v>0.3552236588572385</v>
      </c>
      <c r="AA41" s="49">
        <v>0.54027460490677714</v>
      </c>
      <c r="AB41" s="46"/>
      <c r="AC41" s="46"/>
      <c r="AD41" s="16">
        <f t="array" ref="AD41:AE45">LINEST(O2:O35,AC2:AD35,0,1)</f>
        <v>0.25364766761483626</v>
      </c>
      <c r="AE41" s="18">
        <v>0.54085054547023059</v>
      </c>
      <c r="AG41" s="5"/>
      <c r="AH41" s="5"/>
      <c r="AI41" s="65">
        <v>12.98</v>
      </c>
      <c r="AJ41" s="27">
        <f t="shared" si="30"/>
        <v>12.502705906394057</v>
      </c>
      <c r="AK41" s="28">
        <f t="shared" si="25"/>
        <v>0.74804583418384318</v>
      </c>
      <c r="AL41" s="8">
        <f t="shared" si="26"/>
        <v>0.55957257003980176</v>
      </c>
      <c r="AM41" s="27">
        <f t="shared" si="27"/>
        <v>1.3071740007197619</v>
      </c>
      <c r="AN41" s="29">
        <f t="shared" si="29"/>
        <v>11.943577739858139</v>
      </c>
    </row>
    <row r="42" spans="1:40">
      <c r="B42" s="59">
        <v>41</v>
      </c>
      <c r="C42" s="60">
        <f t="shared" si="0"/>
        <v>1681</v>
      </c>
      <c r="D42" s="60">
        <f t="shared" si="1"/>
        <v>68921</v>
      </c>
      <c r="E42" s="60">
        <f t="shared" si="2"/>
        <v>2825761</v>
      </c>
      <c r="F42" s="60">
        <f t="shared" si="3"/>
        <v>115856201</v>
      </c>
      <c r="G42" s="61">
        <f t="shared" si="4"/>
        <v>4750104241</v>
      </c>
      <c r="I42" s="56">
        <f t="shared" si="5"/>
        <v>12.080892315648097</v>
      </c>
      <c r="J42" s="2" t="s">
        <v>18</v>
      </c>
      <c r="K42" s="66">
        <f>SUM(K2:K41)/40</f>
        <v>2.1457329177963116</v>
      </c>
      <c r="P42" s="19">
        <v>0.58570465291547114</v>
      </c>
      <c r="Q42" s="5">
        <v>1.071376762446858</v>
      </c>
      <c r="R42" s="5" t="e">
        <v>#N/A</v>
      </c>
      <c r="S42" s="5" t="e">
        <v>#N/A</v>
      </c>
      <c r="T42" s="5" t="e">
        <v>#N/A</v>
      </c>
      <c r="U42" s="6" t="e">
        <v>#N/A</v>
      </c>
      <c r="W42" s="46"/>
      <c r="X42" s="50">
        <v>0.1643421645969636</v>
      </c>
      <c r="Y42" s="46">
        <v>0.1713605260994942</v>
      </c>
      <c r="Z42" s="46">
        <v>0.17763434488266927</v>
      </c>
      <c r="AA42" s="51">
        <v>0.17196691147650556</v>
      </c>
      <c r="AB42" s="46"/>
      <c r="AC42" s="46"/>
      <c r="AD42" s="50">
        <v>0.16644686439495496</v>
      </c>
      <c r="AE42" s="6">
        <v>0.16877639103431713</v>
      </c>
      <c r="AH42" s="5"/>
      <c r="AI42" s="40">
        <v>12.92</v>
      </c>
      <c r="AJ42" s="15"/>
      <c r="AK42" s="2" t="s">
        <v>18</v>
      </c>
      <c r="AL42" s="66">
        <f>SUM(AL2:AL41)/40</f>
        <v>0.94765418745935492</v>
      </c>
    </row>
    <row r="43" spans="1:40" ht="15.75" thickBot="1">
      <c r="B43" s="62">
        <v>42</v>
      </c>
      <c r="C43" s="32">
        <f t="shared" si="0"/>
        <v>1764</v>
      </c>
      <c r="D43" s="32">
        <f t="shared" si="1"/>
        <v>74088</v>
      </c>
      <c r="E43" s="32">
        <f t="shared" si="2"/>
        <v>3111696</v>
      </c>
      <c r="F43" s="32">
        <f t="shared" si="3"/>
        <v>130691232</v>
      </c>
      <c r="G43" s="55">
        <f t="shared" si="4"/>
        <v>5489031744</v>
      </c>
      <c r="I43" s="57">
        <f t="shared" si="5"/>
        <v>12.21028346732129</v>
      </c>
      <c r="J43" s="2" t="s">
        <v>20</v>
      </c>
      <c r="K43" s="23">
        <f>SUM(K2:K12)/10</f>
        <v>2.0270336977311985</v>
      </c>
      <c r="P43" s="19">
        <v>6.5974392411279599</v>
      </c>
      <c r="Q43" s="5">
        <v>28</v>
      </c>
      <c r="R43" s="5" t="e">
        <v>#N/A</v>
      </c>
      <c r="S43" s="5" t="e">
        <v>#N/A</v>
      </c>
      <c r="T43" s="5" t="e">
        <v>#N/A</v>
      </c>
      <c r="U43" s="6" t="e">
        <v>#N/A</v>
      </c>
      <c r="W43" s="46"/>
      <c r="X43" s="50">
        <v>0.58041138894132271</v>
      </c>
      <c r="Y43" s="46">
        <v>1.0416394719974966</v>
      </c>
      <c r="Z43" s="46" t="e">
        <v>#N/A</v>
      </c>
      <c r="AA43" s="51" t="e">
        <v>#N/A</v>
      </c>
      <c r="AB43" s="46"/>
      <c r="AC43" s="46"/>
      <c r="AD43" s="50">
        <v>0.54049680097359054</v>
      </c>
      <c r="AE43" s="6">
        <v>1.0554447179523885</v>
      </c>
      <c r="AI43" s="41">
        <v>12.75</v>
      </c>
      <c r="AJ43" s="15"/>
      <c r="AK43" s="2" t="s">
        <v>20</v>
      </c>
      <c r="AL43" s="23">
        <f>SUM(AL2:AL12)/10</f>
        <v>1.0206214740403958</v>
      </c>
    </row>
    <row r="44" spans="1:40" ht="15.75" thickBot="1">
      <c r="B44" s="63">
        <v>43</v>
      </c>
      <c r="C44" s="21">
        <f t="shared" si="0"/>
        <v>1849</v>
      </c>
      <c r="D44" s="21">
        <f t="shared" si="1"/>
        <v>79507</v>
      </c>
      <c r="E44" s="21">
        <f t="shared" si="2"/>
        <v>3418801</v>
      </c>
      <c r="F44" s="21">
        <f t="shared" si="3"/>
        <v>147008443</v>
      </c>
      <c r="G44" s="64">
        <f t="shared" si="4"/>
        <v>6321363049</v>
      </c>
      <c r="I44" s="58">
        <f t="shared" si="5"/>
        <v>12.331751194877716</v>
      </c>
      <c r="P44" s="20">
        <v>45.437151243333886</v>
      </c>
      <c r="Q44" s="7">
        <v>32.139748679111108</v>
      </c>
      <c r="R44" s="7" t="e">
        <v>#N/A</v>
      </c>
      <c r="S44" s="7" t="e">
        <v>#N/A</v>
      </c>
      <c r="T44" s="7" t="e">
        <v>#N/A</v>
      </c>
      <c r="U44" s="8" t="e">
        <v>#N/A</v>
      </c>
      <c r="W44" s="46"/>
      <c r="X44" s="50">
        <v>10.374651032773537</v>
      </c>
      <c r="Y44" s="46">
        <v>30</v>
      </c>
      <c r="Z44" s="46" t="e">
        <v>#N/A</v>
      </c>
      <c r="AA44" s="51" t="e">
        <v>#N/A</v>
      </c>
      <c r="AB44" s="46"/>
      <c r="AC44" s="46"/>
      <c r="AD44" s="50">
        <v>18.820214601118405</v>
      </c>
      <c r="AE44" s="6">
        <v>32</v>
      </c>
      <c r="AJ44" s="15"/>
    </row>
    <row r="45" spans="1:40" ht="15.75" thickBot="1">
      <c r="J45" s="1" t="s">
        <v>21</v>
      </c>
      <c r="O45" t="s">
        <v>1</v>
      </c>
      <c r="P45">
        <f>P40/P41</f>
        <v>-0.17957778269022745</v>
      </c>
      <c r="Q45" s="31">
        <f t="shared" ref="Q45:U45" si="31">Q40/Q41</f>
        <v>-1.2881153511621657</v>
      </c>
      <c r="R45" s="42">
        <f t="shared" si="31"/>
        <v>2.4248606171857076E-2</v>
      </c>
      <c r="S45">
        <f t="shared" si="31"/>
        <v>0.57643454487312873</v>
      </c>
      <c r="T45">
        <f t="shared" si="31"/>
        <v>1.5733165464575276</v>
      </c>
      <c r="U45">
        <f t="shared" si="31"/>
        <v>2.7053773117029762</v>
      </c>
      <c r="W45" s="46"/>
      <c r="X45" s="45">
        <v>45.026516233748289</v>
      </c>
      <c r="Y45" s="52">
        <v>32.550383688696705</v>
      </c>
      <c r="Z45" s="52" t="e">
        <v>#N/A</v>
      </c>
      <c r="AA45" s="53" t="e">
        <v>#N/A</v>
      </c>
      <c r="AB45" s="46"/>
      <c r="AC45" s="46"/>
      <c r="AD45" s="45">
        <v>41.9300662375299</v>
      </c>
      <c r="AE45" s="8">
        <v>35.646833684915094</v>
      </c>
      <c r="AG45" s="54" t="s">
        <v>37</v>
      </c>
      <c r="AH45" s="18">
        <f xml:space="preserve"> AA49*J41 + Z49*J40 + Y49*J39</f>
        <v>0.90105186564909312</v>
      </c>
      <c r="AJ45" s="15"/>
    </row>
    <row r="46" spans="1:40" ht="15.75" thickBot="1">
      <c r="B46" t="s">
        <v>8</v>
      </c>
      <c r="C46" t="s">
        <v>9</v>
      </c>
      <c r="D46" t="s">
        <v>10</v>
      </c>
      <c r="J46" s="22">
        <f xml:space="preserve"> -1/40 - 2/SQRT(40)</f>
        <v>-0.34122776601683796</v>
      </c>
      <c r="W46" s="46"/>
      <c r="X46" s="43">
        <f>X41/X42</f>
        <v>-0.11452233744821774</v>
      </c>
      <c r="Y46" s="46">
        <f t="shared" ref="Y46:AE46" si="32">Y41/Y42</f>
        <v>-1.2188369159933887</v>
      </c>
      <c r="Z46" s="46">
        <f t="shared" si="32"/>
        <v>1.9997464966128606</v>
      </c>
      <c r="AA46" s="46">
        <f t="shared" si="32"/>
        <v>3.1417358157333104</v>
      </c>
      <c r="AB46" s="46"/>
      <c r="AC46" s="46"/>
      <c r="AD46" s="43">
        <f t="shared" si="32"/>
        <v>1.5238957401622544</v>
      </c>
      <c r="AE46" s="46">
        <f t="shared" si="32"/>
        <v>3.2045391073699401</v>
      </c>
      <c r="AG46" s="10" t="s">
        <v>38</v>
      </c>
      <c r="AH46" s="6">
        <f xml:space="preserve"> AA49*AH45 + Z49*J41 + Y49*J40</f>
        <v>0.71049525541818792</v>
      </c>
      <c r="AJ46" s="15"/>
    </row>
    <row r="47" spans="1:40">
      <c r="A47" s="5" t="s">
        <v>11</v>
      </c>
      <c r="B47" s="16">
        <f t="array" ref="B47:D51">LINEST(A2:A41,B2:C41,1,1)</f>
        <v>-3.9617120583826469E-3</v>
      </c>
      <c r="C47" s="17">
        <v>0.45821325251895123</v>
      </c>
      <c r="D47" s="18">
        <v>-4.6213067487673509E-2</v>
      </c>
      <c r="J47" s="22">
        <f xml:space="preserve"> -1/40 + 2/SQRT(40)</f>
        <v>0.29122776601683792</v>
      </c>
      <c r="W47" s="44"/>
      <c r="X47" s="44"/>
      <c r="Y47" s="44"/>
      <c r="Z47" s="44"/>
      <c r="AA47" s="44"/>
      <c r="AB47" s="44"/>
      <c r="AC47" s="44"/>
      <c r="AD47" s="44"/>
      <c r="AG47" s="10" t="s">
        <v>39</v>
      </c>
      <c r="AH47" s="6">
        <f xml:space="preserve"> AA49*AH46 + Z49*AH45 + Y49*J41</f>
        <v>0.41432493151763233</v>
      </c>
    </row>
    <row r="48" spans="1:40" ht="15.75" thickBot="1">
      <c r="A48" s="5" t="s">
        <v>12</v>
      </c>
      <c r="B48" s="19">
        <v>2.0224721363128499E-3</v>
      </c>
      <c r="C48" s="5">
        <v>8.5505376540075631E-2</v>
      </c>
      <c r="D48" s="6">
        <v>0.76014124892466162</v>
      </c>
      <c r="O48" s="5"/>
      <c r="P48" s="5"/>
      <c r="Q48" t="s">
        <v>34</v>
      </c>
      <c r="R48" t="s">
        <v>33</v>
      </c>
      <c r="S48" t="s">
        <v>31</v>
      </c>
      <c r="T48" t="s">
        <v>8</v>
      </c>
      <c r="U48" t="s">
        <v>9</v>
      </c>
      <c r="V48" s="5"/>
      <c r="W48" s="46"/>
      <c r="X48" s="46"/>
      <c r="Y48" s="44" t="s">
        <v>33</v>
      </c>
      <c r="Z48" s="44" t="s">
        <v>8</v>
      </c>
      <c r="AA48" s="44" t="s">
        <v>9</v>
      </c>
      <c r="AB48" s="46"/>
      <c r="AC48" s="46"/>
      <c r="AD48" s="44"/>
      <c r="AG48" s="10"/>
      <c r="AH48" s="6"/>
    </row>
    <row r="49" spans="1:39" ht="15.75" thickBot="1">
      <c r="A49" s="5" t="s">
        <v>13</v>
      </c>
      <c r="B49" s="19">
        <v>0.84701726422482915</v>
      </c>
      <c r="C49" s="5">
        <v>1.523059835489893</v>
      </c>
      <c r="D49" s="6" t="e">
        <v>#N/A</v>
      </c>
      <c r="O49" s="5"/>
      <c r="P49" s="5"/>
      <c r="Q49" s="16">
        <f t="array" ref="Q49:U53">LINEST(O2:O35,W2:AA35,0,1)</f>
        <v>-9.5665822058071295E-2</v>
      </c>
      <c r="R49" s="17">
        <v>-0.14875264135517555</v>
      </c>
      <c r="S49" s="17">
        <v>7.5397572498081503E-2</v>
      </c>
      <c r="T49" s="17">
        <v>0.34126059728678426</v>
      </c>
      <c r="U49" s="18">
        <v>0.5119381395053938</v>
      </c>
      <c r="V49" s="5"/>
      <c r="W49" s="46"/>
      <c r="X49" s="46"/>
      <c r="Y49" s="47">
        <f t="array" ref="Y49:AA53">LINEST(O2:O35,AC2:AE35,0,1)</f>
        <v>-0.22145795884776218</v>
      </c>
      <c r="Z49" s="48">
        <v>0.35122766510477671</v>
      </c>
      <c r="AA49" s="49">
        <v>0.54516152178620825</v>
      </c>
      <c r="AB49" s="46"/>
      <c r="AC49" s="46"/>
      <c r="AD49" s="44"/>
      <c r="AG49" s="10" t="s">
        <v>40</v>
      </c>
      <c r="AH49" s="26">
        <f xml:space="preserve"> I42 + AH45</f>
        <v>12.981944181297189</v>
      </c>
    </row>
    <row r="50" spans="1:39" ht="15.75" thickBot="1">
      <c r="A50" s="5" t="s">
        <v>14</v>
      </c>
      <c r="B50" s="19">
        <v>102.42867803847024</v>
      </c>
      <c r="C50" s="5">
        <v>37</v>
      </c>
      <c r="D50" s="6" t="e">
        <v>#N/A</v>
      </c>
      <c r="O50" s="5"/>
      <c r="P50" s="5"/>
      <c r="Q50" s="19">
        <v>0.16394982969133556</v>
      </c>
      <c r="R50" s="5">
        <v>0.20227814206473474</v>
      </c>
      <c r="S50" s="5">
        <v>0.20151178553036053</v>
      </c>
      <c r="T50" s="5">
        <v>0.19724998015488215</v>
      </c>
      <c r="U50" s="6">
        <v>0.18821775191185761</v>
      </c>
      <c r="V50" s="5"/>
      <c r="W50" s="46"/>
      <c r="X50" s="46"/>
      <c r="Y50" s="50">
        <v>0.12928603617543857</v>
      </c>
      <c r="Z50" s="46">
        <v>0.17137881727971349</v>
      </c>
      <c r="AA50" s="51">
        <v>0.16391531105890625</v>
      </c>
      <c r="AB50" s="46"/>
      <c r="AC50" s="46"/>
      <c r="AD50" s="44"/>
      <c r="AG50" s="10" t="s">
        <v>41</v>
      </c>
      <c r="AH50" s="26">
        <f t="shared" ref="AH50:AH51" si="33" xml:space="preserve"> I43 + AH46</f>
        <v>12.920778722739477</v>
      </c>
      <c r="AJ50" s="67" t="s">
        <v>50</v>
      </c>
      <c r="AK50" s="68"/>
      <c r="AL50" s="3" t="s">
        <v>51</v>
      </c>
      <c r="AM50" s="4" t="s">
        <v>52</v>
      </c>
    </row>
    <row r="51" spans="1:39" ht="15.75" thickBot="1">
      <c r="A51" s="5" t="s">
        <v>15</v>
      </c>
      <c r="B51" s="20">
        <v>475.20991609406667</v>
      </c>
      <c r="C51" s="21">
        <v>85.829316711852499</v>
      </c>
      <c r="D51" s="8" t="e">
        <v>#N/A</v>
      </c>
      <c r="O51" s="5"/>
      <c r="P51" s="5"/>
      <c r="Q51" s="19">
        <v>0.56803879472404584</v>
      </c>
      <c r="R51" s="5">
        <v>1.0749532658978862</v>
      </c>
      <c r="S51" s="5" t="e">
        <v>#N/A</v>
      </c>
      <c r="T51" s="5" t="e">
        <v>#N/A</v>
      </c>
      <c r="U51" s="6" t="e">
        <v>#N/A</v>
      </c>
      <c r="V51" s="5"/>
      <c r="W51" s="46"/>
      <c r="X51" s="46"/>
      <c r="Y51" s="50">
        <v>0.58022795367102631</v>
      </c>
      <c r="Z51" s="46">
        <v>1.0249250803194496</v>
      </c>
      <c r="AA51" s="51" t="e">
        <v>#N/A</v>
      </c>
      <c r="AB51" s="46"/>
      <c r="AC51" s="46"/>
      <c r="AD51" s="44"/>
      <c r="AG51" s="11" t="s">
        <v>42</v>
      </c>
      <c r="AH51" s="29">
        <f t="shared" si="33"/>
        <v>12.746076126395348</v>
      </c>
      <c r="AJ51" s="19" t="s">
        <v>53</v>
      </c>
      <c r="AK51" s="6"/>
      <c r="AL51" s="5">
        <v>2.15</v>
      </c>
      <c r="AM51" s="6">
        <v>0.95</v>
      </c>
    </row>
    <row r="52" spans="1:39" ht="15.75" thickBot="1">
      <c r="O52" s="5"/>
      <c r="P52" s="5"/>
      <c r="Q52" s="19">
        <v>7.6271317172909709</v>
      </c>
      <c r="R52" s="5">
        <v>29</v>
      </c>
      <c r="S52" s="5" t="e">
        <v>#N/A</v>
      </c>
      <c r="T52" s="5" t="e">
        <v>#N/A</v>
      </c>
      <c r="U52" s="6" t="e">
        <v>#N/A</v>
      </c>
      <c r="V52" s="5"/>
      <c r="W52" s="46"/>
      <c r="X52" s="46"/>
      <c r="Y52" s="50">
        <v>14.283201816401579</v>
      </c>
      <c r="Z52" s="46">
        <v>31</v>
      </c>
      <c r="AA52" s="51" t="e">
        <v>#N/A</v>
      </c>
      <c r="AB52" s="46"/>
      <c r="AC52" s="46"/>
      <c r="AD52" s="44"/>
      <c r="AJ52" s="20" t="s">
        <v>54</v>
      </c>
      <c r="AK52" s="8"/>
      <c r="AL52" s="7">
        <v>2.0299999999999998</v>
      </c>
      <c r="AM52" s="8">
        <v>1.02</v>
      </c>
    </row>
    <row r="53" spans="1:39" ht="15.75" thickBot="1">
      <c r="O53" s="5"/>
      <c r="P53" s="5"/>
      <c r="Q53" s="20">
        <v>44.066688730373578</v>
      </c>
      <c r="R53" s="7">
        <v>33.510211192071417</v>
      </c>
      <c r="S53" s="7" t="e">
        <v>#N/A</v>
      </c>
      <c r="T53" s="7" t="e">
        <v>#N/A</v>
      </c>
      <c r="U53" s="8" t="e">
        <v>#N/A</v>
      </c>
      <c r="V53" s="5"/>
      <c r="W53" s="46"/>
      <c r="X53" s="46"/>
      <c r="Y53" s="45">
        <v>45.012285894142259</v>
      </c>
      <c r="Z53" s="52">
        <v>32.564614028302735</v>
      </c>
      <c r="AA53" s="53" t="e">
        <v>#N/A</v>
      </c>
      <c r="AB53" s="46"/>
      <c r="AC53" s="46"/>
      <c r="AD53" s="44"/>
    </row>
    <row r="54" spans="1:39">
      <c r="O54" s="5"/>
      <c r="P54" s="43"/>
      <c r="Q54" s="5">
        <f>Q49/Q50</f>
        <v>-0.58350668761400393</v>
      </c>
      <c r="R54" s="5">
        <f t="shared" ref="R54:U54" si="34">R49/R50</f>
        <v>-0.73538663068978793</v>
      </c>
      <c r="S54" s="43">
        <f t="shared" si="34"/>
        <v>0.3741596170151637</v>
      </c>
      <c r="T54" s="5">
        <f t="shared" si="34"/>
        <v>1.7300919220312412</v>
      </c>
      <c r="U54" s="5">
        <f t="shared" si="34"/>
        <v>2.7199248439920507</v>
      </c>
      <c r="V54" s="5"/>
      <c r="W54" s="46"/>
      <c r="X54" s="46"/>
      <c r="Y54" s="43">
        <f>Y49/Y50</f>
        <v>-1.7129302235490316</v>
      </c>
      <c r="Z54" s="46">
        <f t="shared" ref="Z54:AA54" si="35">Z49/Z50</f>
        <v>2.0494228556352181</v>
      </c>
      <c r="AA54" s="46">
        <f t="shared" si="35"/>
        <v>3.3258730881479006</v>
      </c>
      <c r="AB54" s="46"/>
      <c r="AC54" s="46"/>
      <c r="AD54" s="44"/>
    </row>
    <row r="55" spans="1:39">
      <c r="O55" s="5"/>
      <c r="P55" s="5"/>
      <c r="Q55" s="5"/>
      <c r="R55" s="5"/>
      <c r="S55" s="5"/>
      <c r="T55" s="5"/>
      <c r="U55" s="5"/>
      <c r="V55" s="5"/>
      <c r="W55" s="46"/>
      <c r="X55" s="46"/>
      <c r="Y55" s="46"/>
      <c r="Z55" s="46"/>
      <c r="AA55" s="46"/>
      <c r="AB55" s="46"/>
      <c r="AC55" s="46"/>
      <c r="AD55" s="44"/>
    </row>
    <row r="56" spans="1:39">
      <c r="O56" s="5"/>
      <c r="P56" s="5"/>
      <c r="Q56" s="5"/>
      <c r="R56" s="5"/>
      <c r="S56" s="5"/>
      <c r="T56" s="5"/>
      <c r="U56" s="5"/>
      <c r="V56" s="5"/>
      <c r="W56" s="46"/>
      <c r="X56" s="46"/>
      <c r="Y56" s="46" t="s">
        <v>35</v>
      </c>
      <c r="Z56" s="46"/>
      <c r="AA56" s="46"/>
      <c r="AB56" s="46"/>
      <c r="AC56" s="46"/>
      <c r="AD56" s="44"/>
    </row>
    <row r="57" spans="1:39">
      <c r="O57" s="5"/>
      <c r="P57" s="5"/>
      <c r="Q57" s="5"/>
      <c r="R57" s="5"/>
      <c r="S57" s="5"/>
      <c r="T57" s="5"/>
      <c r="U57" s="5"/>
      <c r="V57" s="5"/>
      <c r="W57" s="46"/>
      <c r="X57" s="46"/>
      <c r="Y57" s="46"/>
      <c r="Z57" s="46"/>
      <c r="AA57" s="46"/>
      <c r="AB57" s="46"/>
      <c r="AC57" s="46"/>
      <c r="AD57" s="44"/>
    </row>
    <row r="58" spans="1:39">
      <c r="O58" s="5"/>
      <c r="P58" s="5"/>
      <c r="Q58" s="5"/>
      <c r="R58" s="5"/>
      <c r="S58" s="5"/>
      <c r="T58" s="5"/>
      <c r="U58" s="5"/>
      <c r="V58" s="5"/>
      <c r="W58" s="46"/>
      <c r="X58" s="46"/>
      <c r="Y58" s="46"/>
      <c r="Z58" s="46"/>
      <c r="AA58" s="46"/>
      <c r="AB58" s="46"/>
      <c r="AC58" s="46"/>
      <c r="AD58" s="44"/>
    </row>
    <row r="59" spans="1:39"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39"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39"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39"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39">
      <c r="O63" s="5"/>
      <c r="P63" s="5"/>
      <c r="Q63" s="43"/>
      <c r="R63" s="5"/>
      <c r="S63" s="5"/>
      <c r="T63" s="5"/>
      <c r="U63" s="5"/>
      <c r="V63" s="5"/>
      <c r="W63" s="5"/>
      <c r="X63" s="5"/>
      <c r="Y63" s="43"/>
      <c r="Z63" s="5"/>
      <c r="AA63" s="5"/>
      <c r="AB63" s="5"/>
      <c r="AC63" s="5"/>
    </row>
    <row r="64" spans="1:39"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5:29"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</sheetData>
  <mergeCells count="1">
    <mergeCell ref="AQ5:AR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8" sqref="L8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5" sqref="D1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5" sqref="D15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5" sqref="O1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Кор. 1</vt:lpstr>
      <vt:lpstr>Невязка</vt:lpstr>
      <vt:lpstr>Прогноз</vt:lpstr>
      <vt:lpstr>Тренд шум</vt:lpstr>
      <vt:lpstr>Кор.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2014-11-15T04:46:46Z</dcterms:modified>
</cp:coreProperties>
</file>