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1" r:id="rId1"/>
    <sheet name="2" sheetId="3" r:id="rId2"/>
    <sheet name="Метод Делфи" sheetId="2" r:id="rId3"/>
  </sheets>
  <calcPr calcId="152511"/>
</workbook>
</file>

<file path=xl/calcChain.xml><?xml version="1.0" encoding="utf-8"?>
<calcChain xmlns="http://schemas.openxmlformats.org/spreadsheetml/2006/main">
  <c r="B51" i="3" l="1"/>
  <c r="B50" i="3"/>
  <c r="B47" i="3"/>
  <c r="B67" i="3"/>
  <c r="B66" i="3"/>
  <c r="B65" i="3"/>
  <c r="B62" i="3"/>
  <c r="B59" i="3"/>
  <c r="B56" i="3"/>
  <c r="B55" i="3"/>
  <c r="B54" i="3"/>
  <c r="C26" i="3"/>
  <c r="D26" i="3"/>
  <c r="B26" i="3"/>
  <c r="C25" i="3"/>
  <c r="D25" i="3"/>
  <c r="B25" i="3"/>
  <c r="B46" i="3"/>
  <c r="B45" i="3"/>
  <c r="B36" i="3"/>
  <c r="B34" i="3"/>
  <c r="A34" i="3"/>
  <c r="A29" i="3" l="1" a="1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B4" i="3"/>
  <c r="B37" i="1"/>
  <c r="B36" i="1"/>
  <c r="B35" i="1"/>
  <c r="B34" i="1"/>
  <c r="B33" i="1"/>
  <c r="C19" i="1"/>
  <c r="B32" i="1"/>
  <c r="B31" i="1"/>
  <c r="B27" i="1"/>
  <c r="B30" i="1"/>
  <c r="B29" i="1"/>
  <c r="B28" i="1"/>
  <c r="G18" i="1"/>
  <c r="H18" i="1"/>
  <c r="N18" i="1"/>
  <c r="N5" i="1"/>
  <c r="N6" i="1"/>
  <c r="N7" i="1"/>
  <c r="N8" i="1"/>
  <c r="N9" i="1"/>
  <c r="N10" i="1"/>
  <c r="N11" i="1"/>
  <c r="N12" i="1"/>
  <c r="N13" i="1"/>
  <c r="N14" i="1"/>
  <c r="N15" i="1"/>
  <c r="N4" i="1"/>
  <c r="M4" i="1"/>
  <c r="B26" i="1"/>
  <c r="B25" i="1"/>
  <c r="B23" i="3" l="1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24" i="1"/>
  <c r="M18" i="1"/>
  <c r="M5" i="1"/>
  <c r="M6" i="1"/>
  <c r="M7" i="1"/>
  <c r="M8" i="1"/>
  <c r="M9" i="1"/>
  <c r="M10" i="1"/>
  <c r="M11" i="1"/>
  <c r="M12" i="1"/>
  <c r="M13" i="1"/>
  <c r="M14" i="1"/>
  <c r="M15" i="1"/>
  <c r="B23" i="1"/>
  <c r="L18" i="1"/>
  <c r="L5" i="1"/>
  <c r="L6" i="1"/>
  <c r="L7" i="1"/>
  <c r="L8" i="1"/>
  <c r="L9" i="1"/>
  <c r="L10" i="1"/>
  <c r="L11" i="1"/>
  <c r="L12" i="1"/>
  <c r="L13" i="1"/>
  <c r="L14" i="1"/>
  <c r="L15" i="1"/>
  <c r="L4" i="1"/>
  <c r="B22" i="1"/>
  <c r="J18" i="1"/>
  <c r="I18" i="1"/>
  <c r="K18" i="1"/>
  <c r="K5" i="1"/>
  <c r="K6" i="1"/>
  <c r="K7" i="1"/>
  <c r="K8" i="1"/>
  <c r="K9" i="1"/>
  <c r="K10" i="1"/>
  <c r="K11" i="1"/>
  <c r="K12" i="1"/>
  <c r="K13" i="1"/>
  <c r="K14" i="1"/>
  <c r="K15" i="1"/>
  <c r="K4" i="1"/>
  <c r="J5" i="1"/>
  <c r="J6" i="1"/>
  <c r="J7" i="1"/>
  <c r="J8" i="1"/>
  <c r="J9" i="1"/>
  <c r="J10" i="1"/>
  <c r="J11" i="1"/>
  <c r="J12" i="1"/>
  <c r="J13" i="1"/>
  <c r="J14" i="1"/>
  <c r="J15" i="1"/>
  <c r="J4" i="1"/>
  <c r="I15" i="1"/>
  <c r="I5" i="1"/>
  <c r="I6" i="1"/>
  <c r="I7" i="1"/>
  <c r="I8" i="1"/>
  <c r="I9" i="1"/>
  <c r="I10" i="1"/>
  <c r="I11" i="1"/>
  <c r="I12" i="1"/>
  <c r="I13" i="1"/>
  <c r="I14" i="1"/>
  <c r="I4" i="1"/>
  <c r="H5" i="1"/>
  <c r="H6" i="1"/>
  <c r="H7" i="1"/>
  <c r="H8" i="1"/>
  <c r="H9" i="1"/>
  <c r="H10" i="1"/>
  <c r="H11" i="1"/>
  <c r="H12" i="1"/>
  <c r="H13" i="1"/>
  <c r="H14" i="1"/>
  <c r="H15" i="1"/>
  <c r="H4" i="1"/>
  <c r="G5" i="1"/>
  <c r="G6" i="1"/>
  <c r="G7" i="1"/>
  <c r="G8" i="1"/>
  <c r="G9" i="1"/>
  <c r="G10" i="1"/>
  <c r="G11" i="1"/>
  <c r="G12" i="1"/>
  <c r="G13" i="1"/>
  <c r="G14" i="1"/>
  <c r="G15" i="1"/>
  <c r="G4" i="1"/>
  <c r="F5" i="1"/>
  <c r="F6" i="1"/>
  <c r="F7" i="1"/>
  <c r="F8" i="1"/>
  <c r="F9" i="1"/>
  <c r="F10" i="1"/>
  <c r="F11" i="1"/>
  <c r="F12" i="1"/>
  <c r="F13" i="1"/>
  <c r="F14" i="1"/>
  <c r="F15" i="1"/>
  <c r="F4" i="1"/>
  <c r="B21" i="1"/>
  <c r="B20" i="1"/>
  <c r="B19" i="1"/>
  <c r="C17" i="1"/>
  <c r="D17" i="1"/>
  <c r="E17" i="1"/>
  <c r="B17" i="1"/>
  <c r="E5" i="1"/>
  <c r="E6" i="1"/>
  <c r="E7" i="1"/>
  <c r="E8" i="1"/>
  <c r="E9" i="1"/>
  <c r="E10" i="1"/>
  <c r="E11" i="1"/>
  <c r="E12" i="1"/>
  <c r="E13" i="1"/>
  <c r="E14" i="1"/>
  <c r="E15" i="1"/>
  <c r="E4" i="1"/>
  <c r="D5" i="1"/>
  <c r="D6" i="1"/>
  <c r="D7" i="1"/>
  <c r="D8" i="1"/>
  <c r="D9" i="1"/>
  <c r="D10" i="1"/>
  <c r="D11" i="1"/>
  <c r="D12" i="1"/>
  <c r="D13" i="1"/>
  <c r="D14" i="1"/>
  <c r="D15" i="1"/>
  <c r="D4" i="1"/>
  <c r="C16" i="2" l="1"/>
  <c r="C15" i="2"/>
  <c r="C14" i="2"/>
  <c r="D3" i="2"/>
  <c r="D4" i="2"/>
  <c r="D5" i="2"/>
  <c r="D6" i="2"/>
  <c r="D7" i="2"/>
  <c r="D8" i="2"/>
  <c r="D9" i="2"/>
  <c r="D10" i="2"/>
  <c r="D11" i="2"/>
  <c r="D2" i="2"/>
  <c r="D13" i="2" s="1"/>
  <c r="C13" i="2"/>
  <c r="B13" i="2"/>
  <c r="B1" i="1"/>
  <c r="C4" i="1" s="1"/>
  <c r="C15" i="1"/>
  <c r="C17" i="2" l="1"/>
  <c r="C18" i="2" s="1"/>
  <c r="C14" i="1"/>
  <c r="C13" i="1"/>
  <c r="C12" i="1"/>
  <c r="C11" i="1"/>
  <c r="C10" i="1"/>
  <c r="C9" i="1"/>
  <c r="C8" i="1"/>
  <c r="C7" i="1"/>
  <c r="C5" i="1"/>
  <c r="C6" i="1"/>
  <c r="C19" i="2" l="1"/>
</calcChain>
</file>

<file path=xl/sharedStrings.xml><?xml version="1.0" encoding="utf-8"?>
<sst xmlns="http://schemas.openxmlformats.org/spreadsheetml/2006/main" count="83" uniqueCount="72">
  <si>
    <t>Номер региона</t>
  </si>
  <si>
    <t>N</t>
  </si>
  <si>
    <t>Коэффициент самооценки</t>
  </si>
  <si>
    <t>Уровень спроса</t>
  </si>
  <si>
    <t>сред.</t>
  </si>
  <si>
    <t>мед.</t>
  </si>
  <si>
    <t>мин</t>
  </si>
  <si>
    <t>макс</t>
  </si>
  <si>
    <t>квартиль</t>
  </si>
  <si>
    <t>ДИ нижн</t>
  </si>
  <si>
    <t>ДИ верхн</t>
  </si>
  <si>
    <t>ДИ вне</t>
  </si>
  <si>
    <t>X</t>
  </si>
  <si>
    <t>Y</t>
  </si>
  <si>
    <t>XY</t>
  </si>
  <si>
    <t>X^2</t>
  </si>
  <si>
    <t>Y~</t>
  </si>
  <si>
    <t>S^2</t>
  </si>
  <si>
    <t>b</t>
  </si>
  <si>
    <t>a</t>
  </si>
  <si>
    <t>(X-Xcp)</t>
  </si>
  <si>
    <t>(Y-Ycp)</t>
  </si>
  <si>
    <t>(X-Xcp)^2</t>
  </si>
  <si>
    <t>(Y-Ycp)^2</t>
  </si>
  <si>
    <t>(X-Xcp)(Y-Ycp)</t>
  </si>
  <si>
    <t>r</t>
  </si>
  <si>
    <t>(Y~-Ycp)^2</t>
  </si>
  <si>
    <t>R^2</t>
  </si>
  <si>
    <t>A</t>
  </si>
  <si>
    <t>t</t>
  </si>
  <si>
    <t>F</t>
  </si>
  <si>
    <t>D(a)</t>
  </si>
  <si>
    <t>(Y-Y~)^2</t>
  </si>
  <si>
    <t>D(b)</t>
  </si>
  <si>
    <t>ta</t>
  </si>
  <si>
    <t>tb</t>
  </si>
  <si>
    <t>s^2</t>
  </si>
  <si>
    <t>(Xp-Xcp)^2</t>
  </si>
  <si>
    <t>Xp</t>
  </si>
  <si>
    <t>mu</t>
  </si>
  <si>
    <t>Yp</t>
  </si>
  <si>
    <t>lb</t>
  </si>
  <si>
    <t>ub</t>
  </si>
  <si>
    <t>X1</t>
  </si>
  <si>
    <t>X2</t>
  </si>
  <si>
    <t>x1</t>
  </si>
  <si>
    <t>x2</t>
  </si>
  <si>
    <t>k</t>
  </si>
  <si>
    <t>ошибки</t>
  </si>
  <si>
    <t>F stat</t>
  </si>
  <si>
    <t>Корелляция</t>
  </si>
  <si>
    <t>Tcrit</t>
  </si>
  <si>
    <t>Tfact</t>
  </si>
  <si>
    <t>beta1</t>
  </si>
  <si>
    <t>beta2</t>
  </si>
  <si>
    <t>ty</t>
  </si>
  <si>
    <t>больше влияет на Y</t>
  </si>
  <si>
    <t>CP</t>
  </si>
  <si>
    <t>SUM</t>
  </si>
  <si>
    <t>Э1</t>
  </si>
  <si>
    <t>Э2</t>
  </si>
  <si>
    <t>Эластичность</t>
  </si>
  <si>
    <t>Частная корреляция</t>
  </si>
  <si>
    <t>Ryx1x2</t>
  </si>
  <si>
    <t>Ryx2x1</t>
  </si>
  <si>
    <t>Rx1x2y</t>
  </si>
  <si>
    <t>Линейный коэффициент множественной корреляции</t>
  </si>
  <si>
    <t>Детерминация</t>
  </si>
  <si>
    <t>Фишер</t>
  </si>
  <si>
    <t>Ffact</t>
  </si>
  <si>
    <t>Fx1</t>
  </si>
  <si>
    <t>Fx2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</si>
</sst>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2" fontId="0" fillId="0" borderId="0" xfId="1" applyNumberFormat="1" applyFont="1"/>
    <xf numFmtId="0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opLeftCell="A17" workbookViewId="0">
      <selection activeCell="A38" sqref="A38"/>
    </sheetView>
  </sheetViews>
  <sheetFormatPr defaultRowHeight="15" x14ac:dyDescent="0.25"/>
  <cols>
    <col min="1" max="1" width="9.28515625" bestFit="1" customWidth="1"/>
    <col min="2" max="2" width="10.140625" style="1" bestFit="1" customWidth="1"/>
    <col min="3" max="3" width="9.42578125" bestFit="1" customWidth="1"/>
    <col min="4" max="4" width="10.7109375" bestFit="1" customWidth="1"/>
    <col min="5" max="5" width="10.5703125" bestFit="1" customWidth="1"/>
    <col min="6" max="8" width="9.28515625" bestFit="1" customWidth="1"/>
    <col min="9" max="9" width="10.42578125" customWidth="1"/>
    <col min="10" max="10" width="10" customWidth="1"/>
    <col min="11" max="11" width="9.5703125" bestFit="1" customWidth="1"/>
    <col min="12" max="12" width="9.7109375" customWidth="1"/>
  </cols>
  <sheetData>
    <row r="1" spans="1:14" x14ac:dyDescent="0.25">
      <c r="A1" t="s">
        <v>1</v>
      </c>
      <c r="B1" s="1">
        <f>-5</f>
        <v>-5</v>
      </c>
    </row>
    <row r="3" spans="1:14" x14ac:dyDescent="0.25">
      <c r="A3" t="s">
        <v>0</v>
      </c>
      <c r="B3" s="1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26</v>
      </c>
      <c r="N3" t="s">
        <v>32</v>
      </c>
    </row>
    <row r="4" spans="1:14" s="1" customFormat="1" x14ac:dyDescent="0.25">
      <c r="A4" s="1">
        <v>1</v>
      </c>
      <c r="B4" s="1">
        <v>970</v>
      </c>
      <c r="C4" s="1">
        <f>1610+10*$B$1</f>
        <v>1560</v>
      </c>
      <c r="D4" s="1">
        <f>B4*C4</f>
        <v>1513200</v>
      </c>
      <c r="E4" s="1">
        <f>B4^2</f>
        <v>940900</v>
      </c>
      <c r="F4" s="1">
        <f>$B$21+$B$20*B4</f>
        <v>1475.7939489816099</v>
      </c>
      <c r="G4" s="1">
        <f>B4-$B$17</f>
        <v>88.333333333333371</v>
      </c>
      <c r="H4" s="1">
        <f>C4-$C$17</f>
        <v>167.5</v>
      </c>
      <c r="I4" s="1">
        <f>G4^2</f>
        <v>7802.7777777777846</v>
      </c>
      <c r="J4" s="1">
        <f>H4^2</f>
        <v>28056.25</v>
      </c>
      <c r="K4" s="1">
        <f>G4*H4</f>
        <v>14795.833333333339</v>
      </c>
      <c r="L4" s="1">
        <f>(F4-$C$17)^2</f>
        <v>6937.8819369510329</v>
      </c>
      <c r="M4" s="1">
        <f>ABS((C4-F4)/C4)</f>
        <v>5.3978237832301344E-2</v>
      </c>
      <c r="N4" s="1">
        <f>(C4-F4)^2</f>
        <v>7090.659028111716</v>
      </c>
    </row>
    <row r="5" spans="1:14" s="1" customFormat="1" x14ac:dyDescent="0.25">
      <c r="A5" s="1">
        <v>2</v>
      </c>
      <c r="B5" s="1">
        <v>730</v>
      </c>
      <c r="C5" s="1">
        <f>1310+10*$B$1</f>
        <v>1260</v>
      </c>
      <c r="D5" s="1">
        <f t="shared" ref="D5:D15" si="0">B5*C5</f>
        <v>919800</v>
      </c>
      <c r="E5" s="1">
        <f t="shared" ref="E5:E15" si="1">B5^2</f>
        <v>532900</v>
      </c>
      <c r="F5" s="1">
        <f t="shared" ref="F5:F15" si="2">$B$21+$B$20*B5</f>
        <v>1249.4858611825191</v>
      </c>
      <c r="G5" s="1">
        <f t="shared" ref="G5:G15" si="3">B5-$B$17</f>
        <v>-151.66666666666663</v>
      </c>
      <c r="H5" s="1">
        <f t="shared" ref="H5:H15" si="4">C5-$C$17</f>
        <v>-132.5</v>
      </c>
      <c r="I5" s="1">
        <f t="shared" ref="I5:I14" si="5">G5^2</f>
        <v>23002.777777777766</v>
      </c>
      <c r="J5" s="1">
        <f t="shared" ref="J5:J15" si="6">H5^2</f>
        <v>17556.25</v>
      </c>
      <c r="K5" s="1">
        <f t="shared" ref="K5:K15" si="7">G5*H5</f>
        <v>20095.833333333328</v>
      </c>
      <c r="L5" s="1">
        <f t="shared" ref="L5:L15" si="8">(F5-$C$17)^2</f>
        <v>20453.043901705696</v>
      </c>
      <c r="M5" s="1">
        <f t="shared" ref="M5:M15" si="9">ABS((C5-F5)/C5)</f>
        <v>8.3445546170483314E-3</v>
      </c>
      <c r="N5" s="1">
        <f t="shared" ref="N5:N15" si="10">(C5-F5)^2</f>
        <v>110.54711507325862</v>
      </c>
    </row>
    <row r="6" spans="1:14" s="1" customFormat="1" x14ac:dyDescent="0.25">
      <c r="A6" s="1">
        <v>3</v>
      </c>
      <c r="B6" s="1">
        <v>790</v>
      </c>
      <c r="C6" s="1">
        <f>1350+10*$B$1</f>
        <v>1300</v>
      </c>
      <c r="D6" s="1">
        <f t="shared" si="0"/>
        <v>1027000</v>
      </c>
      <c r="E6" s="1">
        <f t="shared" si="1"/>
        <v>624100</v>
      </c>
      <c r="F6" s="1">
        <f t="shared" si="2"/>
        <v>1306.0628831322917</v>
      </c>
      <c r="G6" s="1">
        <f t="shared" si="3"/>
        <v>-91.666666666666629</v>
      </c>
      <c r="H6" s="1">
        <f t="shared" si="4"/>
        <v>-92.5</v>
      </c>
      <c r="I6" s="1">
        <f t="shared" si="5"/>
        <v>8402.7777777777701</v>
      </c>
      <c r="J6" s="1">
        <f t="shared" si="6"/>
        <v>8556.25</v>
      </c>
      <c r="K6" s="1">
        <f t="shared" si="7"/>
        <v>8479.1666666666624</v>
      </c>
      <c r="L6" s="1">
        <f t="shared" si="8"/>
        <v>7471.3751724018548</v>
      </c>
      <c r="M6" s="1">
        <f t="shared" si="9"/>
        <v>4.6637562556090346E-3</v>
      </c>
      <c r="N6" s="1">
        <f t="shared" si="10"/>
        <v>36.758551875827763</v>
      </c>
    </row>
    <row r="7" spans="1:14" s="1" customFormat="1" x14ac:dyDescent="0.25">
      <c r="A7" s="1">
        <v>4</v>
      </c>
      <c r="B7" s="1">
        <v>990</v>
      </c>
      <c r="C7" s="1">
        <f>1470+10*$B$1</f>
        <v>1420</v>
      </c>
      <c r="D7" s="1">
        <f t="shared" si="0"/>
        <v>1405800</v>
      </c>
      <c r="E7" s="1">
        <f t="shared" si="1"/>
        <v>980100</v>
      </c>
      <c r="F7" s="1">
        <f t="shared" si="2"/>
        <v>1494.6529562982007</v>
      </c>
      <c r="G7" s="1">
        <f t="shared" si="3"/>
        <v>108.33333333333337</v>
      </c>
      <c r="H7" s="1">
        <f t="shared" si="4"/>
        <v>27.5</v>
      </c>
      <c r="I7" s="1">
        <f t="shared" si="5"/>
        <v>11736.111111111119</v>
      </c>
      <c r="J7" s="1">
        <f t="shared" si="6"/>
        <v>756.25</v>
      </c>
      <c r="K7" s="1">
        <f t="shared" si="7"/>
        <v>2979.1666666666679</v>
      </c>
      <c r="L7" s="1">
        <f t="shared" si="8"/>
        <v>10435.226480462103</v>
      </c>
      <c r="M7" s="1">
        <f t="shared" si="9"/>
        <v>5.2572504435352607E-2</v>
      </c>
      <c r="N7" s="1">
        <f t="shared" si="10"/>
        <v>5573.0638840610645</v>
      </c>
    </row>
    <row r="8" spans="1:14" s="1" customFormat="1" x14ac:dyDescent="0.25">
      <c r="A8" s="1">
        <v>5</v>
      </c>
      <c r="B8" s="1">
        <v>860</v>
      </c>
      <c r="C8" s="1">
        <f>1390+10*$B$1</f>
        <v>1340</v>
      </c>
      <c r="D8" s="1">
        <f t="shared" si="0"/>
        <v>1152400</v>
      </c>
      <c r="E8" s="1">
        <f t="shared" si="1"/>
        <v>739600</v>
      </c>
      <c r="F8" s="1">
        <f t="shared" si="2"/>
        <v>1372.0694087403599</v>
      </c>
      <c r="G8" s="1">
        <f t="shared" si="3"/>
        <v>-21.666666666666629</v>
      </c>
      <c r="H8" s="1">
        <f t="shared" si="4"/>
        <v>-52.5</v>
      </c>
      <c r="I8" s="1">
        <f t="shared" si="5"/>
        <v>469.44444444444281</v>
      </c>
      <c r="J8" s="1">
        <f t="shared" si="6"/>
        <v>2756.25</v>
      </c>
      <c r="K8" s="1">
        <f t="shared" si="7"/>
        <v>1137.499999999998</v>
      </c>
      <c r="L8" s="1">
        <f t="shared" si="8"/>
        <v>417.4090592184823</v>
      </c>
      <c r="M8" s="1">
        <f t="shared" si="9"/>
        <v>2.3932394582358137E-2</v>
      </c>
      <c r="N8" s="1">
        <f t="shared" si="10"/>
        <v>1028.4469769562722</v>
      </c>
    </row>
    <row r="9" spans="1:14" s="1" customFormat="1" x14ac:dyDescent="0.25">
      <c r="A9" s="1">
        <v>6</v>
      </c>
      <c r="B9" s="1">
        <v>910</v>
      </c>
      <c r="C9" s="1">
        <f>1510+10*$B$1</f>
        <v>1460</v>
      </c>
      <c r="D9" s="1">
        <f t="shared" si="0"/>
        <v>1328600</v>
      </c>
      <c r="E9" s="1">
        <f t="shared" si="1"/>
        <v>828100</v>
      </c>
      <c r="F9" s="1">
        <f t="shared" si="2"/>
        <v>1419.2169270318373</v>
      </c>
      <c r="G9" s="1">
        <f t="shared" si="3"/>
        <v>28.333333333333371</v>
      </c>
      <c r="H9" s="1">
        <f t="shared" si="4"/>
        <v>67.5</v>
      </c>
      <c r="I9" s="1">
        <f t="shared" si="5"/>
        <v>802.77777777777987</v>
      </c>
      <c r="J9" s="1">
        <f t="shared" si="6"/>
        <v>4556.25</v>
      </c>
      <c r="K9" s="1">
        <f t="shared" si="7"/>
        <v>1912.5000000000025</v>
      </c>
      <c r="L9" s="1">
        <f t="shared" si="8"/>
        <v>713.79419002451641</v>
      </c>
      <c r="M9" s="1">
        <f t="shared" si="9"/>
        <v>2.7933611622029276E-2</v>
      </c>
      <c r="N9" s="1">
        <f t="shared" si="10"/>
        <v>1663.2590407264865</v>
      </c>
    </row>
    <row r="10" spans="1:14" s="1" customFormat="1" x14ac:dyDescent="0.25">
      <c r="A10" s="1">
        <v>7</v>
      </c>
      <c r="B10" s="1">
        <v>850</v>
      </c>
      <c r="C10" s="1">
        <f>1350+10*$B$1</f>
        <v>1300</v>
      </c>
      <c r="D10" s="1">
        <f t="shared" si="0"/>
        <v>1105000</v>
      </c>
      <c r="E10" s="1">
        <f t="shared" si="1"/>
        <v>722500</v>
      </c>
      <c r="F10" s="1">
        <f t="shared" si="2"/>
        <v>1362.6399050820644</v>
      </c>
      <c r="G10" s="1">
        <f t="shared" si="3"/>
        <v>-31.666666666666629</v>
      </c>
      <c r="H10" s="1">
        <f t="shared" si="4"/>
        <v>-92.5</v>
      </c>
      <c r="I10" s="1">
        <f t="shared" si="5"/>
        <v>1002.7777777777753</v>
      </c>
      <c r="J10" s="1">
        <f t="shared" si="6"/>
        <v>8556.25</v>
      </c>
      <c r="K10" s="1">
        <f t="shared" si="7"/>
        <v>2929.1666666666633</v>
      </c>
      <c r="L10" s="1">
        <f t="shared" si="8"/>
        <v>891.62526850812412</v>
      </c>
      <c r="M10" s="1">
        <f t="shared" si="9"/>
        <v>4.8184542370818761E-2</v>
      </c>
      <c r="N10" s="1">
        <f t="shared" si="10"/>
        <v>3923.757708690036</v>
      </c>
    </row>
    <row r="11" spans="1:14" s="1" customFormat="1" x14ac:dyDescent="0.25">
      <c r="A11" s="1">
        <v>8</v>
      </c>
      <c r="B11" s="1">
        <v>770</v>
      </c>
      <c r="C11" s="1">
        <f>1320+10*$B$1</f>
        <v>1270</v>
      </c>
      <c r="D11" s="1">
        <f t="shared" si="0"/>
        <v>977900</v>
      </c>
      <c r="E11" s="1">
        <f t="shared" si="1"/>
        <v>592900</v>
      </c>
      <c r="F11" s="1">
        <f t="shared" si="2"/>
        <v>1287.2038758157009</v>
      </c>
      <c r="G11" s="1">
        <f t="shared" si="3"/>
        <v>-111.66666666666663</v>
      </c>
      <c r="H11" s="1">
        <f t="shared" si="4"/>
        <v>-122.5</v>
      </c>
      <c r="I11" s="1">
        <f t="shared" si="5"/>
        <v>12469.444444444436</v>
      </c>
      <c r="J11" s="1">
        <f t="shared" si="6"/>
        <v>15006.25</v>
      </c>
      <c r="K11" s="1">
        <f t="shared" si="7"/>
        <v>13679.166666666662</v>
      </c>
      <c r="L11" s="1">
        <f t="shared" si="8"/>
        <v>11087.273768235329</v>
      </c>
      <c r="M11" s="1">
        <f t="shared" si="9"/>
        <v>1.3546358910000739E-2</v>
      </c>
      <c r="N11" s="1">
        <f t="shared" si="10"/>
        <v>295.97334308205967</v>
      </c>
    </row>
    <row r="12" spans="1:14" s="1" customFormat="1" x14ac:dyDescent="0.25">
      <c r="A12" s="1">
        <v>9</v>
      </c>
      <c r="B12" s="1">
        <v>890</v>
      </c>
      <c r="C12" s="1">
        <f>1610+10*$B$1</f>
        <v>1560</v>
      </c>
      <c r="D12" s="1">
        <f t="shared" si="0"/>
        <v>1388400</v>
      </c>
      <c r="E12" s="1">
        <f t="shared" si="1"/>
        <v>792100</v>
      </c>
      <c r="F12" s="1">
        <f t="shared" si="2"/>
        <v>1400.3579197152462</v>
      </c>
      <c r="G12" s="1">
        <f t="shared" si="3"/>
        <v>8.3333333333333712</v>
      </c>
      <c r="H12" s="1">
        <f t="shared" si="4"/>
        <v>167.5</v>
      </c>
      <c r="I12" s="1">
        <f t="shared" si="5"/>
        <v>69.444444444445082</v>
      </c>
      <c r="J12" s="1">
        <f t="shared" si="6"/>
        <v>28056.25</v>
      </c>
      <c r="K12" s="1">
        <f t="shared" si="7"/>
        <v>1395.8333333333396</v>
      </c>
      <c r="L12" s="1">
        <f t="shared" si="8"/>
        <v>61.746902251255321</v>
      </c>
      <c r="M12" s="1">
        <f t="shared" si="9"/>
        <v>0.10233466684920113</v>
      </c>
      <c r="N12" s="1">
        <f t="shared" si="10"/>
        <v>25485.593797643771</v>
      </c>
    </row>
    <row r="13" spans="1:14" s="1" customFormat="1" x14ac:dyDescent="0.25">
      <c r="A13" s="1">
        <v>10</v>
      </c>
      <c r="B13" s="1">
        <v>950</v>
      </c>
      <c r="C13" s="1">
        <f>1590+10*$B$1</f>
        <v>1540</v>
      </c>
      <c r="D13" s="1">
        <f t="shared" si="0"/>
        <v>1463000</v>
      </c>
      <c r="E13" s="1">
        <f t="shared" si="1"/>
        <v>902500</v>
      </c>
      <c r="F13" s="1">
        <f t="shared" si="2"/>
        <v>1456.9349416650189</v>
      </c>
      <c r="G13" s="1">
        <f t="shared" si="3"/>
        <v>68.333333333333371</v>
      </c>
      <c r="H13" s="1">
        <f t="shared" si="4"/>
        <v>147.5</v>
      </c>
      <c r="I13" s="1">
        <f t="shared" si="5"/>
        <v>4669.4444444444498</v>
      </c>
      <c r="J13" s="1">
        <f t="shared" si="6"/>
        <v>21756.25</v>
      </c>
      <c r="K13" s="1">
        <f t="shared" si="7"/>
        <v>10079.166666666672</v>
      </c>
      <c r="L13" s="1">
        <f t="shared" si="8"/>
        <v>4151.8617073743844</v>
      </c>
      <c r="M13" s="1">
        <f t="shared" si="9"/>
        <v>5.3938349568169563E-2</v>
      </c>
      <c r="N13" s="1">
        <f t="shared" si="10"/>
        <v>6899.8039161938186</v>
      </c>
    </row>
    <row r="14" spans="1:14" s="1" customFormat="1" x14ac:dyDescent="0.25">
      <c r="A14" s="1">
        <v>11</v>
      </c>
      <c r="B14" s="1">
        <v>720</v>
      </c>
      <c r="C14" s="1">
        <f>1200+10*$B$1</f>
        <v>1150</v>
      </c>
      <c r="D14" s="1">
        <f t="shared" si="0"/>
        <v>828000</v>
      </c>
      <c r="E14" s="1">
        <f t="shared" si="1"/>
        <v>518400</v>
      </c>
      <c r="F14" s="1">
        <f t="shared" si="2"/>
        <v>1240.0563575242236</v>
      </c>
      <c r="G14" s="1">
        <f t="shared" si="3"/>
        <v>-161.66666666666663</v>
      </c>
      <c r="H14" s="1">
        <f t="shared" si="4"/>
        <v>-242.5</v>
      </c>
      <c r="I14" s="1">
        <f t="shared" si="5"/>
        <v>26136.111111111099</v>
      </c>
      <c r="J14" s="1">
        <f t="shared" si="6"/>
        <v>58806.25</v>
      </c>
      <c r="K14" s="1">
        <f t="shared" si="7"/>
        <v>39204.166666666657</v>
      </c>
      <c r="L14" s="1">
        <f t="shared" si="8"/>
        <v>23239.064131282343</v>
      </c>
      <c r="M14" s="1">
        <f t="shared" si="9"/>
        <v>7.830987610802051E-2</v>
      </c>
      <c r="N14" s="1">
        <f t="shared" si="10"/>
        <v>8110.1475305307822</v>
      </c>
    </row>
    <row r="15" spans="1:14" s="1" customFormat="1" x14ac:dyDescent="0.25">
      <c r="A15" s="1">
        <v>12</v>
      </c>
      <c r="B15" s="1">
        <v>1150</v>
      </c>
      <c r="C15" s="1">
        <f>1600+10*$B$1</f>
        <v>1550</v>
      </c>
      <c r="D15" s="1">
        <f t="shared" si="0"/>
        <v>1782500</v>
      </c>
      <c r="E15" s="1">
        <f t="shared" si="1"/>
        <v>1322500</v>
      </c>
      <c r="F15" s="1">
        <f t="shared" si="2"/>
        <v>1645.5250148309278</v>
      </c>
      <c r="G15" s="1">
        <f t="shared" si="3"/>
        <v>268.33333333333337</v>
      </c>
      <c r="H15" s="1">
        <f t="shared" si="4"/>
        <v>157.5</v>
      </c>
      <c r="I15" s="1">
        <f>G15^2</f>
        <v>72002.777777777796</v>
      </c>
      <c r="J15" s="1">
        <f t="shared" si="6"/>
        <v>24806.25</v>
      </c>
      <c r="K15" s="1">
        <f t="shared" si="7"/>
        <v>42262.500000000007</v>
      </c>
      <c r="L15" s="1">
        <f t="shared" si="8"/>
        <v>64021.658130191252</v>
      </c>
      <c r="M15" s="1">
        <f t="shared" si="9"/>
        <v>6.1629041826405051E-2</v>
      </c>
      <c r="N15" s="1">
        <f t="shared" si="10"/>
        <v>9125.0284584489818</v>
      </c>
    </row>
    <row r="16" spans="1:14" s="1" customFormat="1" x14ac:dyDescent="0.25"/>
    <row r="17" spans="1:14" s="1" customFormat="1" x14ac:dyDescent="0.25">
      <c r="B17" s="1">
        <f>AVERAGE(B4:B15)</f>
        <v>881.66666666666663</v>
      </c>
      <c r="C17" s="1">
        <f t="shared" ref="C17:E17" si="11">AVERAGE(C4:C15)</f>
        <v>1392.5</v>
      </c>
      <c r="D17" s="1">
        <f t="shared" si="11"/>
        <v>1240966.6666666667</v>
      </c>
      <c r="E17" s="1">
        <f t="shared" si="11"/>
        <v>791383.33333333337</v>
      </c>
    </row>
    <row r="18" spans="1:14" x14ac:dyDescent="0.25">
      <c r="C18" s="1"/>
      <c r="D18" s="1"/>
      <c r="E18" s="1"/>
      <c r="G18" s="1">
        <f t="shared" ref="G18:H18" si="12">SUM(G4:G15)</f>
        <v>4.5474735088646412E-13</v>
      </c>
      <c r="H18" s="1">
        <f t="shared" si="12"/>
        <v>0</v>
      </c>
      <c r="I18" s="1">
        <f>SUM(I4:I15)</f>
        <v>168566.66666666666</v>
      </c>
      <c r="J18" s="1">
        <f>SUM(J4:J15)</f>
        <v>219225</v>
      </c>
      <c r="K18" s="1">
        <f>SUM(K4:K15)</f>
        <v>158950</v>
      </c>
      <c r="L18" s="1">
        <f>SUM(L4:L15)</f>
        <v>149881.96064860636</v>
      </c>
      <c r="M18" s="1">
        <f>SUM(M4:M15)</f>
        <v>0.52936789497731451</v>
      </c>
      <c r="N18" s="1">
        <f>SUM(N4:N15)</f>
        <v>69343.03935139408</v>
      </c>
    </row>
    <row r="19" spans="1:14" x14ac:dyDescent="0.25">
      <c r="A19" t="s">
        <v>17</v>
      </c>
      <c r="B19" s="1">
        <f>E17-B17^2</f>
        <v>14047.222222222365</v>
      </c>
      <c r="C19" s="1">
        <f>SQRT(B19)</f>
        <v>118.52097798374076</v>
      </c>
      <c r="D19" s="1"/>
      <c r="E19" s="1"/>
    </row>
    <row r="20" spans="1:14" x14ac:dyDescent="0.25">
      <c r="A20" t="s">
        <v>18</v>
      </c>
      <c r="B20" s="1">
        <f>(D17-B17*C17)/B19</f>
        <v>0.94295036582954472</v>
      </c>
      <c r="C20" s="1"/>
      <c r="D20" s="1"/>
      <c r="E20" s="1"/>
    </row>
    <row r="21" spans="1:14" x14ac:dyDescent="0.25">
      <c r="A21" t="s">
        <v>19</v>
      </c>
      <c r="B21" s="1">
        <f>C17-B20*B17</f>
        <v>561.13209412695142</v>
      </c>
      <c r="C21" s="1"/>
      <c r="D21" s="1"/>
      <c r="E21" s="1"/>
    </row>
    <row r="22" spans="1:14" x14ac:dyDescent="0.25">
      <c r="A22" t="s">
        <v>25</v>
      </c>
      <c r="B22" s="1">
        <f>K18/SQRT(I18*J18)</f>
        <v>0.82685554545441686</v>
      </c>
      <c r="C22" s="1"/>
      <c r="D22" s="1"/>
      <c r="E22" s="1"/>
    </row>
    <row r="23" spans="1:14" x14ac:dyDescent="0.25">
      <c r="A23" t="s">
        <v>27</v>
      </c>
      <c r="B23" s="1">
        <f>L18/J18</f>
        <v>0.6836900930487233</v>
      </c>
    </row>
    <row r="24" spans="1:14" x14ac:dyDescent="0.25">
      <c r="A24" t="s">
        <v>28</v>
      </c>
      <c r="B24" s="1">
        <f>1/A15*M18</f>
        <v>4.4113991248109538E-2</v>
      </c>
    </row>
    <row r="25" spans="1:14" x14ac:dyDescent="0.25">
      <c r="A25" t="s">
        <v>29</v>
      </c>
      <c r="B25" s="1">
        <f>B22*SQRT(A15-2)/SQRT(1-B22^2)</f>
        <v>4.6491466573250264</v>
      </c>
    </row>
    <row r="26" spans="1:14" x14ac:dyDescent="0.25">
      <c r="A26" t="s">
        <v>30</v>
      </c>
      <c r="B26" s="1">
        <f>B23*(A15-2)/(1-B23)</f>
        <v>21.614564641316676</v>
      </c>
    </row>
    <row r="27" spans="1:14" x14ac:dyDescent="0.25">
      <c r="A27" t="s">
        <v>31</v>
      </c>
      <c r="B27" s="1">
        <f>(N18/(A15-2))*(B17/(A15*I18))</f>
        <v>3.022416766930943</v>
      </c>
    </row>
    <row r="28" spans="1:14" x14ac:dyDescent="0.25">
      <c r="A28" t="s">
        <v>33</v>
      </c>
      <c r="B28" s="1">
        <f>N18/((A15-2)*I18)</f>
        <v>4.1136863368436277E-2</v>
      </c>
    </row>
    <row r="29" spans="1:14" x14ac:dyDescent="0.25">
      <c r="A29" t="s">
        <v>34</v>
      </c>
      <c r="B29" s="1">
        <f>B21/SQRT(B27)</f>
        <v>322.76611444755792</v>
      </c>
    </row>
    <row r="30" spans="1:14" x14ac:dyDescent="0.25">
      <c r="A30" t="s">
        <v>35</v>
      </c>
      <c r="B30" s="1">
        <f>B20/SQRT(B28)</f>
        <v>4.6491466573250344</v>
      </c>
    </row>
    <row r="31" spans="1:14" x14ac:dyDescent="0.25">
      <c r="A31" t="s">
        <v>36</v>
      </c>
      <c r="B31" s="1">
        <f>N18/(A15-2)</f>
        <v>6934.3039351394082</v>
      </c>
    </row>
    <row r="32" spans="1:14" x14ac:dyDescent="0.25">
      <c r="A32" t="s">
        <v>38</v>
      </c>
      <c r="B32" s="1">
        <f>1.07*B17</f>
        <v>943.38333333333333</v>
      </c>
    </row>
    <row r="33" spans="1:2" x14ac:dyDescent="0.25">
      <c r="A33" t="s">
        <v>37</v>
      </c>
      <c r="B33" s="1">
        <f>(B32-B17)^2</f>
        <v>3808.946944444448</v>
      </c>
    </row>
    <row r="34" spans="1:2" x14ac:dyDescent="0.25">
      <c r="A34" t="s">
        <v>39</v>
      </c>
      <c r="B34" s="1">
        <f>SQRT(B31)*SQRT(1+1/A15+B33/I18)</f>
        <v>87.571974549123084</v>
      </c>
    </row>
    <row r="35" spans="1:2" x14ac:dyDescent="0.25">
      <c r="A35" t="s">
        <v>40</v>
      </c>
      <c r="B35" s="1">
        <f>B21+B32*B20</f>
        <v>1450.6957534111134</v>
      </c>
    </row>
    <row r="36" spans="1:2" x14ac:dyDescent="0.25">
      <c r="A36" t="s">
        <v>41</v>
      </c>
      <c r="B36" s="1">
        <f>B35-2.23*B34</f>
        <v>1255.4102501665689</v>
      </c>
    </row>
    <row r="37" spans="1:2" x14ac:dyDescent="0.25">
      <c r="A37" t="s">
        <v>42</v>
      </c>
      <c r="B37" s="1">
        <f>B35+2.23*B34</f>
        <v>1645.9812566556579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9" workbookViewId="0">
      <selection activeCell="D50" sqref="D50"/>
    </sheetView>
  </sheetViews>
  <sheetFormatPr defaultRowHeight="15" x14ac:dyDescent="0.25"/>
  <cols>
    <col min="1" max="16384" width="9.140625" style="2"/>
  </cols>
  <sheetData>
    <row r="1" spans="1:4" x14ac:dyDescent="0.25">
      <c r="A1" s="2" t="s">
        <v>1</v>
      </c>
      <c r="B1" s="2">
        <v>-2</v>
      </c>
    </row>
    <row r="3" spans="1:4" x14ac:dyDescent="0.25">
      <c r="B3" s="2" t="s">
        <v>13</v>
      </c>
      <c r="C3" s="2" t="s">
        <v>43</v>
      </c>
      <c r="D3" s="2" t="s">
        <v>44</v>
      </c>
    </row>
    <row r="4" spans="1:4" x14ac:dyDescent="0.25">
      <c r="A4" s="3">
        <v>1</v>
      </c>
      <c r="B4" s="2">
        <f>7+$B$1</f>
        <v>5</v>
      </c>
      <c r="C4" s="2">
        <v>3.8</v>
      </c>
      <c r="D4" s="2">
        <v>9</v>
      </c>
    </row>
    <row r="5" spans="1:4" x14ac:dyDescent="0.25">
      <c r="A5" s="3">
        <v>2</v>
      </c>
      <c r="B5" s="2">
        <f t="shared" ref="B5:B7" si="0">7+$B$1</f>
        <v>5</v>
      </c>
      <c r="C5" s="2">
        <v>4.0999999999999996</v>
      </c>
      <c r="D5" s="2">
        <v>14</v>
      </c>
    </row>
    <row r="6" spans="1:4" x14ac:dyDescent="0.25">
      <c r="A6" s="3">
        <v>3</v>
      </c>
      <c r="B6" s="2">
        <f t="shared" si="0"/>
        <v>5</v>
      </c>
      <c r="C6" s="2">
        <v>4.3</v>
      </c>
      <c r="D6" s="2">
        <v>16</v>
      </c>
    </row>
    <row r="7" spans="1:4" x14ac:dyDescent="0.25">
      <c r="A7" s="3">
        <v>4</v>
      </c>
      <c r="B7" s="2">
        <f t="shared" si="0"/>
        <v>5</v>
      </c>
      <c r="C7" s="2">
        <v>4.0999999999999996</v>
      </c>
      <c r="D7" s="2">
        <v>17</v>
      </c>
    </row>
    <row r="8" spans="1:4" x14ac:dyDescent="0.25">
      <c r="A8" s="3">
        <v>5</v>
      </c>
      <c r="B8" s="2">
        <f>8+$B$1</f>
        <v>6</v>
      </c>
      <c r="C8" s="2">
        <v>4.5999999999999996</v>
      </c>
      <c r="D8" s="2">
        <v>17</v>
      </c>
    </row>
    <row r="9" spans="1:4" x14ac:dyDescent="0.25">
      <c r="A9" s="3">
        <v>6</v>
      </c>
      <c r="B9" s="2">
        <f>8+$B$1</f>
        <v>6</v>
      </c>
      <c r="C9" s="2">
        <v>4.7</v>
      </c>
      <c r="D9" s="2">
        <v>18</v>
      </c>
    </row>
    <row r="10" spans="1:4" x14ac:dyDescent="0.25">
      <c r="A10" s="3">
        <v>7</v>
      </c>
      <c r="B10" s="2">
        <f>9+$B$1</f>
        <v>7</v>
      </c>
      <c r="C10" s="2">
        <v>5.3</v>
      </c>
      <c r="D10" s="2">
        <v>20</v>
      </c>
    </row>
    <row r="11" spans="1:4" x14ac:dyDescent="0.25">
      <c r="A11" s="3">
        <v>8</v>
      </c>
      <c r="B11" s="2">
        <f>9+$B$1</f>
        <v>7</v>
      </c>
      <c r="C11" s="2">
        <v>5.5</v>
      </c>
      <c r="D11" s="2">
        <v>20</v>
      </c>
    </row>
    <row r="12" spans="1:4" x14ac:dyDescent="0.25">
      <c r="A12" s="3">
        <v>9</v>
      </c>
      <c r="B12" s="2">
        <f>11+$B$1</f>
        <v>9</v>
      </c>
      <c r="C12" s="2">
        <v>6.9</v>
      </c>
      <c r="D12" s="2">
        <v>21</v>
      </c>
    </row>
    <row r="13" spans="1:4" x14ac:dyDescent="0.25">
      <c r="A13" s="3">
        <v>10</v>
      </c>
      <c r="B13" s="2">
        <f>10+$B$1</f>
        <v>8</v>
      </c>
      <c r="C13" s="2">
        <v>6.8</v>
      </c>
      <c r="D13" s="2">
        <v>21</v>
      </c>
    </row>
    <row r="14" spans="1:4" x14ac:dyDescent="0.25">
      <c r="A14" s="3">
        <v>11</v>
      </c>
      <c r="B14" s="2">
        <f>11+$B$1</f>
        <v>9</v>
      </c>
      <c r="C14" s="2">
        <v>7.1</v>
      </c>
      <c r="D14" s="2">
        <v>22</v>
      </c>
    </row>
    <row r="15" spans="1:4" x14ac:dyDescent="0.25">
      <c r="A15" s="3">
        <v>12</v>
      </c>
      <c r="B15" s="2">
        <f>11+$B$1</f>
        <v>9</v>
      </c>
      <c r="C15" s="2">
        <v>7.5</v>
      </c>
      <c r="D15" s="2">
        <v>23</v>
      </c>
    </row>
    <row r="16" spans="1:4" x14ac:dyDescent="0.25">
      <c r="A16" s="3">
        <v>13</v>
      </c>
      <c r="B16" s="2">
        <f>12+$B$1</f>
        <v>10</v>
      </c>
      <c r="C16" s="2">
        <v>7.8</v>
      </c>
      <c r="D16" s="2">
        <v>25</v>
      </c>
    </row>
    <row r="17" spans="1:4" x14ac:dyDescent="0.25">
      <c r="A17" s="3">
        <v>14</v>
      </c>
      <c r="B17" s="2">
        <f t="shared" ref="B17:B18" si="1">12+$B$1</f>
        <v>10</v>
      </c>
      <c r="C17" s="2">
        <v>7.6</v>
      </c>
      <c r="D17" s="2">
        <v>27</v>
      </c>
    </row>
    <row r="18" spans="1:4" x14ac:dyDescent="0.25">
      <c r="A18" s="3">
        <v>15</v>
      </c>
      <c r="B18" s="2">
        <f t="shared" si="1"/>
        <v>10</v>
      </c>
      <c r="C18" s="2">
        <v>7.9</v>
      </c>
      <c r="D18" s="2">
        <v>29</v>
      </c>
    </row>
    <row r="19" spans="1:4" x14ac:dyDescent="0.25">
      <c r="A19" s="3">
        <v>16</v>
      </c>
      <c r="B19" s="2">
        <f>13+$B$1</f>
        <v>11</v>
      </c>
      <c r="C19" s="2">
        <v>8.1</v>
      </c>
      <c r="D19" s="2">
        <v>30</v>
      </c>
    </row>
    <row r="20" spans="1:4" x14ac:dyDescent="0.25">
      <c r="A20" s="3">
        <v>17</v>
      </c>
      <c r="B20" s="2">
        <f>13+$B$1</f>
        <v>11</v>
      </c>
      <c r="C20" s="2">
        <v>8.5</v>
      </c>
      <c r="D20" s="2">
        <v>32</v>
      </c>
    </row>
    <row r="21" spans="1:4" x14ac:dyDescent="0.25">
      <c r="A21" s="3">
        <v>18</v>
      </c>
      <c r="B21" s="2">
        <f>14+$B$1</f>
        <v>12</v>
      </c>
      <c r="C21" s="2">
        <v>8.6999999999999993</v>
      </c>
      <c r="D21" s="2">
        <v>32</v>
      </c>
    </row>
    <row r="22" spans="1:4" x14ac:dyDescent="0.25">
      <c r="A22" s="3">
        <v>19</v>
      </c>
      <c r="B22" s="2">
        <f>14+$B$1</f>
        <v>12</v>
      </c>
      <c r="C22" s="2">
        <v>9.6</v>
      </c>
      <c r="D22" s="2">
        <v>33</v>
      </c>
    </row>
    <row r="23" spans="1:4" x14ac:dyDescent="0.25">
      <c r="A23" s="3">
        <v>20</v>
      </c>
      <c r="B23" s="2">
        <f>15+$B$1</f>
        <v>13</v>
      </c>
      <c r="C23" s="2">
        <v>9.8000000000000007</v>
      </c>
      <c r="D23" s="2">
        <v>36</v>
      </c>
    </row>
    <row r="24" spans="1:4" x14ac:dyDescent="0.25">
      <c r="A24" s="3"/>
    </row>
    <row r="25" spans="1:4" x14ac:dyDescent="0.25">
      <c r="A25" s="3" t="s">
        <v>57</v>
      </c>
      <c r="B25" s="2">
        <f>AVERAGE(B4:B23)</f>
        <v>8.5</v>
      </c>
      <c r="C25" s="2">
        <f t="shared" ref="C25:D25" si="2">AVERAGE(C4:C23)</f>
        <v>6.6349999999999998</v>
      </c>
      <c r="D25" s="2">
        <f t="shared" si="2"/>
        <v>23.1</v>
      </c>
    </row>
    <row r="26" spans="1:4" x14ac:dyDescent="0.25">
      <c r="A26" s="3" t="s">
        <v>58</v>
      </c>
      <c r="B26" s="2">
        <f>SUM(B4:B23)</f>
        <v>170</v>
      </c>
      <c r="C26" s="2">
        <f t="shared" ref="C26:D26" si="3">SUM(C4:C23)</f>
        <v>132.69999999999999</v>
      </c>
      <c r="D26" s="2">
        <f t="shared" si="3"/>
        <v>462</v>
      </c>
    </row>
    <row r="28" spans="1:4" x14ac:dyDescent="0.25">
      <c r="A28" s="2" t="s">
        <v>46</v>
      </c>
      <c r="B28" s="2" t="s">
        <v>45</v>
      </c>
      <c r="C28" s="2" t="s">
        <v>19</v>
      </c>
    </row>
    <row r="29" spans="1:4" x14ac:dyDescent="0.25">
      <c r="A29" s="2">
        <f t="array" ref="A29:C33">LINEST(B4:B23,C4:D23,1,1)</f>
        <v>6.3443746784041993E-2</v>
      </c>
      <c r="B29" s="2">
        <v>1.1198396480208199</v>
      </c>
      <c r="C29" s="2">
        <v>-0.39568661532951044</v>
      </c>
      <c r="D29" s="2" t="s">
        <v>47</v>
      </c>
    </row>
    <row r="30" spans="1:4" x14ac:dyDescent="0.25">
      <c r="A30" s="2">
        <v>3.8320857306021694E-2</v>
      </c>
      <c r="B30" s="2">
        <v>0.14284570817538017</v>
      </c>
      <c r="C30" s="2">
        <v>0.29671599200198046</v>
      </c>
      <c r="D30" s="2" t="s">
        <v>48</v>
      </c>
    </row>
    <row r="31" spans="1:4" x14ac:dyDescent="0.25">
      <c r="A31" s="2">
        <v>0.98302890873344861</v>
      </c>
      <c r="B31" s="2">
        <v>0.36163134916800704</v>
      </c>
      <c r="C31" s="2" t="e">
        <v>#N/A</v>
      </c>
    </row>
    <row r="32" spans="1:4" x14ac:dyDescent="0.25">
      <c r="A32" s="2">
        <v>492.35170520252626</v>
      </c>
      <c r="B32" s="2">
        <v>17</v>
      </c>
      <c r="C32" s="2" t="e">
        <v>#N/A</v>
      </c>
      <c r="D32" s="2" t="s">
        <v>49</v>
      </c>
    </row>
    <row r="33" spans="1:4" x14ac:dyDescent="0.25">
      <c r="A33" s="2">
        <v>128.77678704408177</v>
      </c>
      <c r="B33" s="2">
        <v>2.2232129559182416</v>
      </c>
      <c r="C33" s="2" t="e">
        <v>#N/A</v>
      </c>
    </row>
    <row r="34" spans="1:4" x14ac:dyDescent="0.25">
      <c r="A34" s="2">
        <f>A29/A30</f>
        <v>1.6555930958797345</v>
      </c>
      <c r="B34" s="2">
        <f>B29/B30</f>
        <v>7.8395050318622541</v>
      </c>
      <c r="D34" s="2" t="s">
        <v>52</v>
      </c>
    </row>
    <row r="36" spans="1:4" x14ac:dyDescent="0.25">
      <c r="A36" s="2" t="s">
        <v>51</v>
      </c>
      <c r="B36" s="2">
        <f>TINV(0.05, A23-2-1)</f>
        <v>2.109815577833317</v>
      </c>
    </row>
    <row r="39" spans="1:4" ht="15.75" thickBot="1" x14ac:dyDescent="0.3">
      <c r="A39" s="2" t="s">
        <v>50</v>
      </c>
    </row>
    <row r="40" spans="1:4" x14ac:dyDescent="0.25">
      <c r="A40" s="6"/>
      <c r="B40" s="6" t="s">
        <v>13</v>
      </c>
      <c r="C40" s="6" t="s">
        <v>43</v>
      </c>
      <c r="D40" s="6" t="s">
        <v>44</v>
      </c>
    </row>
    <row r="41" spans="1:4" x14ac:dyDescent="0.25">
      <c r="A41" s="4" t="s">
        <v>13</v>
      </c>
      <c r="B41" s="4">
        <v>1</v>
      </c>
      <c r="C41" s="4"/>
      <c r="D41" s="4"/>
    </row>
    <row r="42" spans="1:4" x14ac:dyDescent="0.25">
      <c r="A42" s="4" t="s">
        <v>43</v>
      </c>
      <c r="B42" s="4">
        <v>0.9900972585170138</v>
      </c>
      <c r="C42" s="4">
        <v>1</v>
      </c>
      <c r="D42" s="4"/>
    </row>
    <row r="43" spans="1:4" ht="15.75" thickBot="1" x14ac:dyDescent="0.3">
      <c r="A43" s="5" t="s">
        <v>44</v>
      </c>
      <c r="B43" s="5">
        <v>0.96003936350978625</v>
      </c>
      <c r="C43" s="5">
        <v>0.95376176037489857</v>
      </c>
      <c r="D43" s="5">
        <v>1</v>
      </c>
    </row>
    <row r="45" spans="1:4" x14ac:dyDescent="0.25">
      <c r="A45" s="2" t="s">
        <v>53</v>
      </c>
      <c r="B45" s="2">
        <f>(B42-B43*C43)/(1-C43^2)</f>
        <v>0.82410513216710479</v>
      </c>
      <c r="C45" s="2" t="s">
        <v>56</v>
      </c>
    </row>
    <row r="46" spans="1:4" x14ac:dyDescent="0.25">
      <c r="A46" s="2" t="s">
        <v>54</v>
      </c>
      <c r="B46" s="2">
        <f>(B43-B42*C43)/(1-C43^2)</f>
        <v>0.1740394019200997</v>
      </c>
    </row>
    <row r="47" spans="1:4" x14ac:dyDescent="0.25">
      <c r="A47" s="2" t="s">
        <v>55</v>
      </c>
      <c r="B47" s="2">
        <f>B45*B34+B46*A34</f>
        <v>6.7487147626374808</v>
      </c>
    </row>
    <row r="49" spans="1:2" x14ac:dyDescent="0.25">
      <c r="A49" s="2" t="s">
        <v>61</v>
      </c>
    </row>
    <row r="50" spans="1:2" x14ac:dyDescent="0.25">
      <c r="A50" s="2" t="s">
        <v>59</v>
      </c>
      <c r="B50" s="2">
        <f>B29*C25/B25</f>
        <v>0.87413365466095772</v>
      </c>
    </row>
    <row r="51" spans="1:2" x14ac:dyDescent="0.25">
      <c r="A51" s="2" t="s">
        <v>60</v>
      </c>
      <c r="B51" s="2">
        <f>A29*D25/B25</f>
        <v>0.17241771184839649</v>
      </c>
    </row>
    <row r="53" spans="1:2" x14ac:dyDescent="0.25">
      <c r="A53" s="2" t="s">
        <v>62</v>
      </c>
    </row>
    <row r="54" spans="1:2" x14ac:dyDescent="0.25">
      <c r="A54" s="2" t="s">
        <v>63</v>
      </c>
      <c r="B54" s="2">
        <f>(B42-B43*C43)/SQRT((1-B43^2)*(1-C43^2))</f>
        <v>0.88505543183329682</v>
      </c>
    </row>
    <row r="55" spans="1:2" x14ac:dyDescent="0.25">
      <c r="A55" s="2" t="s">
        <v>64</v>
      </c>
      <c r="B55" s="2">
        <f>(B43-B42*C43)/SQRT((1-B42^2)*(1-C43^2))</f>
        <v>0.3726225717442137</v>
      </c>
    </row>
    <row r="56" spans="1:2" x14ac:dyDescent="0.25">
      <c r="A56" s="2" t="s">
        <v>65</v>
      </c>
      <c r="B56" s="2">
        <f>(C43-B42*B43)/SQRT((1-B42^2)*(1-B43^2))</f>
        <v>8.2197926342159153E-2</v>
      </c>
    </row>
    <row r="58" spans="1:2" x14ac:dyDescent="0.25">
      <c r="A58" s="2" t="s">
        <v>66</v>
      </c>
    </row>
    <row r="59" spans="1:2" x14ac:dyDescent="0.25">
      <c r="A59" s="2" t="s">
        <v>63</v>
      </c>
      <c r="B59" s="2">
        <f>SQRT(B42*B45+B43*B46)</f>
        <v>0.99147814334631112</v>
      </c>
    </row>
    <row r="61" spans="1:2" x14ac:dyDescent="0.25">
      <c r="A61" s="2" t="s">
        <v>67</v>
      </c>
    </row>
    <row r="62" spans="1:2" x14ac:dyDescent="0.25">
      <c r="A62" s="2" t="s">
        <v>27</v>
      </c>
      <c r="B62" s="2">
        <f>1-(A23-1)/(A23-2-1)*(1-B54^2)</f>
        <v>0.75783171946675565</v>
      </c>
    </row>
    <row r="64" spans="1:2" x14ac:dyDescent="0.25">
      <c r="A64" s="2" t="s">
        <v>68</v>
      </c>
    </row>
    <row r="65" spans="1:2" x14ac:dyDescent="0.25">
      <c r="A65" s="2" t="s">
        <v>69</v>
      </c>
      <c r="B65" s="2">
        <f>B54^2/(1-B54^2)*(A23-2-1)/2</f>
        <v>30.728919572296594</v>
      </c>
    </row>
    <row r="66" spans="1:2" x14ac:dyDescent="0.25">
      <c r="A66" s="2" t="s">
        <v>70</v>
      </c>
      <c r="B66" s="2">
        <f>(B59^2-B43^2)/(1-B59^2)*(A23-2-1)/1</f>
        <v>61.45783914459269</v>
      </c>
    </row>
    <row r="67" spans="1:2" x14ac:dyDescent="0.25">
      <c r="A67" s="2" t="s">
        <v>71</v>
      </c>
      <c r="B67" s="2">
        <f>(B59^2-B42^2)/(1-B59^2)*(A24-2-1)/1</f>
        <v>-0.48370385278668826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20" sqref="C20"/>
    </sheetView>
  </sheetViews>
  <sheetFormatPr defaultRowHeight="15" x14ac:dyDescent="0.25"/>
  <sheetData>
    <row r="1" spans="1:4" x14ac:dyDescent="0.25">
      <c r="B1" t="s">
        <v>2</v>
      </c>
      <c r="C1" t="s">
        <v>3</v>
      </c>
    </row>
    <row r="2" spans="1:4" x14ac:dyDescent="0.25">
      <c r="A2">
        <v>1</v>
      </c>
      <c r="B2">
        <v>1</v>
      </c>
      <c r="C2">
        <v>85</v>
      </c>
      <c r="D2">
        <f>B2*C2</f>
        <v>85</v>
      </c>
    </row>
    <row r="3" spans="1:4" x14ac:dyDescent="0.25">
      <c r="A3">
        <v>2</v>
      </c>
      <c r="B3">
        <v>9</v>
      </c>
      <c r="C3">
        <v>83</v>
      </c>
      <c r="D3">
        <f t="shared" ref="D3:D11" si="0">B3*C3</f>
        <v>747</v>
      </c>
    </row>
    <row r="4" spans="1:4" x14ac:dyDescent="0.25">
      <c r="A4">
        <v>3</v>
      </c>
      <c r="B4">
        <v>5</v>
      </c>
      <c r="C4">
        <v>9</v>
      </c>
      <c r="D4">
        <f t="shared" si="0"/>
        <v>45</v>
      </c>
    </row>
    <row r="5" spans="1:4" x14ac:dyDescent="0.25">
      <c r="A5">
        <v>4</v>
      </c>
      <c r="B5">
        <v>4</v>
      </c>
      <c r="C5">
        <v>93</v>
      </c>
      <c r="D5">
        <f t="shared" si="0"/>
        <v>372</v>
      </c>
    </row>
    <row r="6" spans="1:4" x14ac:dyDescent="0.25">
      <c r="A6">
        <v>5</v>
      </c>
      <c r="B6">
        <v>10</v>
      </c>
      <c r="C6">
        <v>55</v>
      </c>
      <c r="D6">
        <f t="shared" si="0"/>
        <v>550</v>
      </c>
    </row>
    <row r="7" spans="1:4" x14ac:dyDescent="0.25">
      <c r="A7">
        <v>6</v>
      </c>
      <c r="B7">
        <v>2</v>
      </c>
      <c r="C7">
        <v>50</v>
      </c>
      <c r="D7">
        <f t="shared" si="0"/>
        <v>100</v>
      </c>
    </row>
    <row r="8" spans="1:4" x14ac:dyDescent="0.25">
      <c r="A8">
        <v>7</v>
      </c>
      <c r="B8">
        <v>10</v>
      </c>
      <c r="C8">
        <v>16</v>
      </c>
      <c r="D8">
        <f t="shared" si="0"/>
        <v>160</v>
      </c>
    </row>
    <row r="9" spans="1:4" x14ac:dyDescent="0.25">
      <c r="A9">
        <v>8</v>
      </c>
      <c r="B9">
        <v>9</v>
      </c>
      <c r="C9">
        <v>41</v>
      </c>
      <c r="D9">
        <f t="shared" si="0"/>
        <v>369</v>
      </c>
    </row>
    <row r="10" spans="1:4" x14ac:dyDescent="0.25">
      <c r="A10">
        <v>9</v>
      </c>
      <c r="B10">
        <v>3</v>
      </c>
      <c r="C10">
        <v>5</v>
      </c>
      <c r="D10">
        <f t="shared" si="0"/>
        <v>15</v>
      </c>
    </row>
    <row r="11" spans="1:4" x14ac:dyDescent="0.25">
      <c r="A11">
        <v>10</v>
      </c>
      <c r="B11">
        <v>10</v>
      </c>
      <c r="C11">
        <v>19</v>
      </c>
      <c r="D11">
        <f t="shared" si="0"/>
        <v>190</v>
      </c>
    </row>
    <row r="13" spans="1:4" x14ac:dyDescent="0.25">
      <c r="A13" t="s">
        <v>4</v>
      </c>
      <c r="B13">
        <f>AVERAGE(B2:B11)</f>
        <v>6.3</v>
      </c>
      <c r="C13">
        <f>AVERAGE(C2:C11)</f>
        <v>45.6</v>
      </c>
      <c r="D13">
        <f>SUM(D2:D11)/SUM(B2:B11)</f>
        <v>41.793650793650791</v>
      </c>
    </row>
    <row r="14" spans="1:4" x14ac:dyDescent="0.25">
      <c r="A14" t="s">
        <v>5</v>
      </c>
      <c r="C14">
        <f>MEDIAN(C2:C11)</f>
        <v>45.5</v>
      </c>
    </row>
    <row r="15" spans="1:4" x14ac:dyDescent="0.25">
      <c r="A15" t="s">
        <v>6</v>
      </c>
      <c r="C15">
        <f>MIN(C2:C11)</f>
        <v>5</v>
      </c>
    </row>
    <row r="16" spans="1:4" x14ac:dyDescent="0.25">
      <c r="A16" t="s">
        <v>7</v>
      </c>
      <c r="C16">
        <f>MAX(C2:C11)</f>
        <v>93</v>
      </c>
    </row>
    <row r="17" spans="1:3" x14ac:dyDescent="0.25">
      <c r="A17" t="s">
        <v>8</v>
      </c>
      <c r="C17">
        <f>(C16-C15)/4</f>
        <v>22</v>
      </c>
    </row>
    <row r="18" spans="1:3" x14ac:dyDescent="0.25">
      <c r="A18" t="s">
        <v>9</v>
      </c>
      <c r="C18">
        <f>C15+C17</f>
        <v>27</v>
      </c>
    </row>
    <row r="19" spans="1:3" x14ac:dyDescent="0.25">
      <c r="A19" t="s">
        <v>10</v>
      </c>
      <c r="C19">
        <f>C16-C17</f>
        <v>71</v>
      </c>
    </row>
    <row r="20" spans="1:3" x14ac:dyDescent="0.25">
      <c r="A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Метод Делфи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2017-02-21T16:26:21Z</dcterms:modified>
</cp:coreProperties>
</file>